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65" tabRatio="364" activeTab="0"/>
  </bookViews>
  <sheets>
    <sheet name="SKP2" sheetId="1" r:id="rId1"/>
    <sheet name="PENGUKURAN" sheetId="2" r:id="rId2"/>
    <sheet name="PENILAIAN" sheetId="3" r:id="rId3"/>
  </sheets>
  <definedNames>
    <definedName name="_xlfn.IFERROR" hidden="1">#NAME?</definedName>
    <definedName name="_xlnm.Print_Area" localSheetId="2">'PENILAIAN'!$A$1:$U$56</definedName>
    <definedName name="_xlnm.Print_Area" localSheetId="0">'SKP2'!$A$1:$M$39</definedName>
  </definedNames>
  <calcPr fullCalcOnLoad="1"/>
</workbook>
</file>

<file path=xl/sharedStrings.xml><?xml version="1.0" encoding="utf-8"?>
<sst xmlns="http://schemas.openxmlformats.org/spreadsheetml/2006/main" count="196" uniqueCount="129">
  <si>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</si>
  <si>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</si>
  <si>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</si>
  <si>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</si>
  <si>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</si>
  <si>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</si>
  <si>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</si>
  <si>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</si>
  <si>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</si>
  <si>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</si>
  <si>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</si>
  <si>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</si>
  <si>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</si>
  <si>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</si>
  <si>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</si>
  <si>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</si>
  <si>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</si>
  <si>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</si>
  <si>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</si>
  <si>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</si>
  <si>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</si>
  <si>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</si>
  <si>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</si>
  <si>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KUANT/OUTPUT</t>
  </si>
  <si>
    <t>Kuant/ Output</t>
  </si>
  <si>
    <t>Pejabat Penilai,</t>
  </si>
  <si>
    <t>III. KEGIATAN TUGAS JABATAN</t>
  </si>
  <si>
    <t>I. Kegiatan Tugas  Jabatan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</si>
  <si>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</si>
  <si>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</si>
  <si>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</si>
  <si>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</si>
  <si>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</si>
  <si>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</si>
  <si>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</si>
  <si>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</si>
  <si>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</si>
  <si>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</si>
  <si>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</si>
  <si>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</si>
  <si>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</si>
  <si>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</si>
  <si>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</si>
  <si>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</si>
  <si>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</si>
  <si>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</si>
  <si>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</si>
  <si>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</si>
  <si>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</si>
  <si>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</si>
  <si>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</si>
  <si>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</si>
  <si>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</si>
  <si>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</si>
  <si>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</si>
  <si>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</si>
  <si>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</si>
  <si>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</si>
  <si>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</si>
  <si>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</si>
  <si>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</si>
  <si>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</si>
  <si>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</si>
  <si>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</si>
  <si>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</si>
  <si>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</si>
  <si>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</si>
  <si>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</si>
  <si>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</si>
  <si>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</si>
  <si>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</si>
  <si>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</si>
  <si>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</si>
  <si>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</si>
  <si>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</si>
  <si>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</si>
  <si>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</si>
  <si>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</si>
  <si>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</si>
  <si>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</si>
  <si>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</si>
  <si>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</si>
  <si>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</si>
  <si>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10.</t>
  </si>
  <si>
    <t>PEGAWAI NEGERI SIPIL YANG DINILAI</t>
  </si>
  <si>
    <t xml:space="preserve"> </t>
  </si>
  <si>
    <t>-</t>
  </si>
  <si>
    <t>II. TUGAS TAMBAHAN DAN KREATIVITAS :</t>
  </si>
  <si>
    <t>…….., 31 Desember .......</t>
  </si>
  <si>
    <t>......................................................................</t>
  </si>
  <si>
    <t>:  ...........    Januari s/d ...... Desember ........</t>
  </si>
  <si>
    <t>9. DIBUAT TANGGAL,        Januari 20...........</t>
  </si>
  <si>
    <t>DITERIMA TANGGAL,       Januari 20............</t>
  </si>
  <si>
    <t>11.DITERIMA TANGGAL,       Januari ............</t>
  </si>
  <si>
    <t>Merencanakan dan melaksanakan pembelajaran, mengevaluasi dan menilai hasil pembelajaran menganalisis hasil pembelajaran, melaksanakan tindak lanjut hasil penilaian</t>
  </si>
  <si>
    <t xml:space="preserve">Menjadi Wali Kelas </t>
  </si>
  <si>
    <t>UNSUR UTAMA</t>
  </si>
  <si>
    <t>PEMBELAJARAN/BIMBINGAN/TUGAS TERTENTU</t>
  </si>
  <si>
    <t>PENGEMBANGAN KEPROFESIAN BERKELANJUTAN</t>
  </si>
  <si>
    <t>Mengikuti Diklat Fungsional Lamanya 30 s.d 80 Jam** (1 AK/Surat Tugas, Laporan Deskripsi Hasil Pelatihan, Sertifikat)</t>
  </si>
  <si>
    <t>Membuat karya tulis berupa laporan hasil penelitian pada bidang pendidikan di sekolahnya, diterbitkan/dipublikasikan dalam majalah ilmiah tingkat kabupaten/kota.*** (1 AK/Karya Tulis dalam Majalah/Jurnal Ilmiah)</t>
  </si>
  <si>
    <t>Membuat Alat Peraga Kategori Kompleks**** (2 AK/alat peraga)</t>
  </si>
  <si>
    <t>UNSUR PENUNJANG</t>
  </si>
  <si>
    <t>Menjadi Pelatih/Tutor/Instruktur (0.04 AK/2 JP)</t>
  </si>
  <si>
    <t>Menjadi pengawas Ujian Sekolah (0.08 AK/1 SK)</t>
  </si>
  <si>
    <t>Menjadi Pengurus Aktif Asosiasi Profesi (1 AK/1 SK)</t>
  </si>
  <si>
    <t>Laporan Penilaian Kinerja</t>
  </si>
  <si>
    <t>Surat Tugas, Laporan Deskripsi Hasil Pelatihan, Sertifikat</t>
  </si>
  <si>
    <t>Karya Tulis dalam Majalah/Jurnal Ilmiah</t>
  </si>
  <si>
    <t>Alat Peraga</t>
  </si>
  <si>
    <t xml:space="preserve">2 JP (bukti :Surat Tugas, jadwal, Laporan)  </t>
  </si>
  <si>
    <t>SK</t>
  </si>
  <si>
    <t>Bulan</t>
  </si>
  <si>
    <t>JUMLAH</t>
  </si>
  <si>
    <t>Pembina Tk. I, IV/b</t>
  </si>
  <si>
    <t xml:space="preserve">Kepala Sekolah </t>
  </si>
  <si>
    <t>Catatan:</t>
  </si>
  <si>
    <t>* AK berdasarkan Permenegpan dan RB 16/2009</t>
  </si>
  <si>
    <t>** Disesuaikan dengan jumlah jam diklat yang diikuti sesuai dengan Permenegpan dan RB 16/2009</t>
  </si>
  <si>
    <t>*** Disesuaikan dengan tingkat publikasi yang dilakukan sesuai Permenegpan dan RB 16/2009</t>
  </si>
  <si>
    <t>**** Disesuaikan dengan kompleksitas karya inovatif sesuai Permenegpan dan RB 16/2009</t>
  </si>
  <si>
    <t>Blitar,   Januari 2014</t>
  </si>
  <si>
    <t>Jangka Waktu Penilaian 02 Januari s.d. 31 Desember 2014</t>
  </si>
  <si>
    <t>Mengikuti Kegiatan Kolektif Guru dalam Menyusun Perangkat Pembelajaran (0.15 AK/Surat Keterangan dan Laporan Kegiatan)</t>
  </si>
  <si>
    <t>Laporan</t>
  </si>
  <si>
    <t>Surat Keterangan dan Laporan Kegiatan</t>
  </si>
  <si>
    <t>19600824  199112 1 002</t>
  </si>
  <si>
    <t>SMAN 1 Wedi Klaten</t>
  </si>
  <si>
    <t>Drs.Lugtyastyono Budi Nugroho , M.Pd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</si>
</sst>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[$-421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000"/>
    <numFmt numFmtId="180" formatCode="0.00000000"/>
    <numFmt numFmtId="181" formatCode="0.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3" fontId="3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170" fontId="11" fillId="0" borderId="2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178" fontId="5" fillId="0" borderId="0" xfId="0" applyNumberFormat="1" applyFont="1" applyAlignment="1" quotePrefix="1">
      <alignment vertical="center"/>
    </xf>
    <xf numFmtId="178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3" fillId="0" borderId="3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3" fillId="0" borderId="36" xfId="0" applyFont="1" applyBorder="1" applyAlignment="1">
      <alignment horizontal="right" vertical="top" wrapText="1"/>
    </xf>
    <xf numFmtId="0" fontId="0" fillId="0" borderId="36" xfId="0" applyBorder="1" applyAlignment="1">
      <alignment/>
    </xf>
    <xf numFmtId="0" fontId="14" fillId="0" borderId="36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170" fontId="15" fillId="0" borderId="38" xfId="0" applyNumberFormat="1" applyFont="1" applyBorder="1" applyAlignment="1">
      <alignment horizontal="center" vertical="center"/>
    </xf>
    <xf numFmtId="43" fontId="15" fillId="0" borderId="39" xfId="0" applyNumberFormat="1" applyFont="1" applyBorder="1" applyAlignment="1">
      <alignment horizontal="center" vertical="center" wrapText="1"/>
    </xf>
    <xf numFmtId="9" fontId="15" fillId="0" borderId="40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2" fontId="17" fillId="0" borderId="42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7" fillId="34" borderId="42" xfId="0" applyFont="1" applyFill="1" applyBorder="1" applyAlignment="1">
      <alignment wrapText="1"/>
    </xf>
    <xf numFmtId="0" fontId="15" fillId="0" borderId="4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2" fontId="17" fillId="0" borderId="41" xfId="0" applyNumberFormat="1" applyFont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170" fontId="15" fillId="0" borderId="0" xfId="0" applyNumberFormat="1" applyFont="1" applyBorder="1" applyAlignment="1">
      <alignment vertical="center"/>
    </xf>
    <xf numFmtId="2" fontId="15" fillId="0" borderId="4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36" xfId="0" applyFont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0" fontId="15" fillId="0" borderId="4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17" fillId="0" borderId="33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0" fontId="59" fillId="0" borderId="4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1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vertical="center"/>
    </xf>
    <xf numFmtId="41" fontId="12" fillId="0" borderId="15" xfId="43" applyFont="1" applyBorder="1" applyAlignment="1">
      <alignment horizontal="center" vertical="center"/>
    </xf>
    <xf numFmtId="41" fontId="12" fillId="0" borderId="24" xfId="43" applyFont="1" applyBorder="1" applyAlignment="1">
      <alignment horizontal="center" vertical="center"/>
    </xf>
    <xf numFmtId="2" fontId="12" fillId="0" borderId="49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top" wrapText="1"/>
    </xf>
    <xf numFmtId="2" fontId="60" fillId="0" borderId="25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60" fillId="0" borderId="25" xfId="0" applyFont="1" applyBorder="1" applyAlignment="1">
      <alignment vertical="top" wrapText="1"/>
    </xf>
    <xf numFmtId="2" fontId="60" fillId="0" borderId="52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 quotePrefix="1">
      <alignment vertical="center"/>
    </xf>
    <xf numFmtId="0" fontId="12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2" fontId="12" fillId="0" borderId="15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2" fontId="6" fillId="0" borderId="31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10" fillId="33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5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12" fillId="3" borderId="15" xfId="0" applyFont="1" applyFill="1" applyBorder="1" applyAlignment="1">
      <alignment horizontal="center" vertical="center"/>
    </xf>
    <xf numFmtId="2" fontId="12" fillId="3" borderId="22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5" fillId="0" borderId="23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22" fillId="0" borderId="23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left" vertical="top" wrapText="1"/>
    </xf>
    <xf numFmtId="0" fontId="22" fillId="0" borderId="57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5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53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5" fillId="0" borderId="33" xfId="0" applyFont="1" applyBorder="1" applyAlignment="1">
      <alignment horizontal="center" vertical="top"/>
    </xf>
    <xf numFmtId="0" fontId="14" fillId="0" borderId="65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center" vertical="top" wrapText="1"/>
    </xf>
    <xf numFmtId="0" fontId="13" fillId="0" borderId="71" xfId="0" applyFont="1" applyBorder="1" applyAlignment="1">
      <alignment horizontal="center" vertical="top" wrapText="1"/>
    </xf>
    <xf numFmtId="0" fontId="13" fillId="0" borderId="72" xfId="0" applyFont="1" applyBorder="1" applyAlignment="1">
      <alignment horizontal="center" vertical="top" wrapText="1"/>
    </xf>
    <xf numFmtId="0" fontId="13" fillId="0" borderId="73" xfId="0" applyFont="1" applyBorder="1" applyAlignment="1">
      <alignment horizontal="left" vertical="center"/>
    </xf>
    <xf numFmtId="0" fontId="13" fillId="0" borderId="74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15" fillId="0" borderId="7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48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170" fontId="17" fillId="0" borderId="76" xfId="0" applyNumberFormat="1" applyFont="1" applyBorder="1" applyAlignment="1">
      <alignment horizontal="center" vertical="center"/>
    </xf>
    <xf numFmtId="170" fontId="17" fillId="0" borderId="77" xfId="0" applyNumberFormat="1" applyFont="1" applyBorder="1" applyAlignment="1">
      <alignment horizontal="center" vertical="center"/>
    </xf>
    <xf numFmtId="0" fontId="17" fillId="34" borderId="76" xfId="0" applyFont="1" applyFill="1" applyBorder="1" applyAlignment="1">
      <alignment horizontal="center" vertical="center" wrapText="1"/>
    </xf>
    <xf numFmtId="0" fontId="17" fillId="34" borderId="77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46" xfId="0" applyFont="1" applyBorder="1" applyAlignment="1">
      <alignment horizontal="left" wrapText="1"/>
    </xf>
    <xf numFmtId="0" fontId="13" fillId="0" borderId="3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7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5" fillId="0" borderId="7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5" fillId="0" borderId="72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5" fillId="0" borderId="7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7" fillId="0" borderId="78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top" wrapText="1"/>
    </xf>
    <xf numFmtId="0" fontId="15" fillId="0" borderId="80" xfId="0" applyFont="1" applyBorder="1" applyAlignment="1">
      <alignment horizontal="center" vertical="top" wrapText="1"/>
    </xf>
    <xf numFmtId="0" fontId="15" fillId="0" borderId="81" xfId="0" applyFont="1" applyBorder="1" applyAlignment="1">
      <alignment horizontal="center" vertical="top" wrapText="1"/>
    </xf>
    <xf numFmtId="0" fontId="15" fillId="0" borderId="78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79" xfId="0" applyFont="1" applyBorder="1" applyAlignment="1">
      <alignment horizontal="justify" vertical="center" wrapText="1"/>
    </xf>
    <xf numFmtId="0" fontId="15" fillId="0" borderId="80" xfId="0" applyFont="1" applyBorder="1" applyAlignment="1">
      <alignment horizontal="justify" vertical="center" wrapText="1"/>
    </xf>
    <xf numFmtId="0" fontId="15" fillId="0" borderId="81" xfId="0" applyFont="1" applyBorder="1" applyAlignment="1">
      <alignment horizontal="justify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70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48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25</xdr:row>
      <xdr:rowOff>142875</xdr:rowOff>
    </xdr:from>
    <xdr:to>
      <xdr:col>16</xdr:col>
      <xdr:colOff>9525</xdr:colOff>
      <xdr:row>30</xdr:row>
      <xdr:rowOff>142875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267825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1">
      <selection activeCell="G8" sqref="G8:H8"/>
    </sheetView>
  </sheetViews>
  <sheetFormatPr defaultColWidth="0" defaultRowHeight="12.75"/>
  <cols>
    <col min="1" max="1" width="0.85546875" style="0" customWidth="1"/>
    <col min="2" max="2" width="4.7109375" style="0" customWidth="1"/>
    <col min="3" max="3" width="18.421875" style="0" customWidth="1"/>
    <col min="4" max="4" width="35.28125" style="0" customWidth="1"/>
    <col min="5" max="5" width="4.8515625" style="0" customWidth="1"/>
    <col min="6" max="6" width="9.00390625" style="0" customWidth="1"/>
    <col min="7" max="7" width="7.421875" style="0" customWidth="1"/>
    <col min="8" max="8" width="18.57421875" style="0" bestFit="1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  <col min="14" max="14" width="9.140625" style="0" customWidth="1"/>
    <col min="15" max="16384" width="0" style="0" hidden="1" customWidth="1"/>
  </cols>
  <sheetData>
    <row r="2" spans="2:12" ht="15.75">
      <c r="B2" s="199" t="s">
        <v>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2:12" ht="16.5" thickBot="1">
      <c r="B3" s="200" t="s">
        <v>67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2:12" ht="14.25" thickBot="1" thickTop="1">
      <c r="B4" s="1" t="s">
        <v>1</v>
      </c>
      <c r="C4" s="204" t="s">
        <v>2</v>
      </c>
      <c r="D4" s="205"/>
      <c r="E4" s="206"/>
      <c r="F4" s="18" t="s">
        <v>1</v>
      </c>
      <c r="G4" s="204" t="s">
        <v>3</v>
      </c>
      <c r="H4" s="205"/>
      <c r="I4" s="205"/>
      <c r="J4" s="205"/>
      <c r="K4" s="205"/>
      <c r="L4" s="206"/>
    </row>
    <row r="5" spans="2:12" ht="13.5" thickTop="1">
      <c r="B5" s="2">
        <v>1</v>
      </c>
      <c r="C5" s="4" t="s">
        <v>4</v>
      </c>
      <c r="D5" s="201" t="s">
        <v>128</v>
      </c>
      <c r="E5" s="203"/>
      <c r="F5" s="6">
        <v>1</v>
      </c>
      <c r="G5" s="207" t="s">
        <v>4</v>
      </c>
      <c r="H5" s="208"/>
      <c r="I5" s="201"/>
      <c r="J5" s="202"/>
      <c r="K5" s="202"/>
      <c r="L5" s="203"/>
    </row>
    <row r="6" spans="2:12" ht="12.75">
      <c r="B6" s="2">
        <v>2</v>
      </c>
      <c r="C6" s="4" t="s">
        <v>5</v>
      </c>
      <c r="D6" s="191" t="s">
        <v>126</v>
      </c>
      <c r="E6" s="193"/>
      <c r="F6" s="7">
        <v>2</v>
      </c>
      <c r="G6" s="194" t="s">
        <v>5</v>
      </c>
      <c r="H6" s="195"/>
      <c r="I6" s="209"/>
      <c r="J6" s="210"/>
      <c r="K6" s="210"/>
      <c r="L6" s="211"/>
    </row>
    <row r="7" spans="2:12" ht="12.75">
      <c r="B7" s="2">
        <v>3</v>
      </c>
      <c r="C7" s="4" t="s">
        <v>8</v>
      </c>
      <c r="D7" s="191" t="s">
        <v>114</v>
      </c>
      <c r="E7" s="193"/>
      <c r="F7" s="7">
        <v>3</v>
      </c>
      <c r="G7" s="194" t="s">
        <v>8</v>
      </c>
      <c r="H7" s="195"/>
      <c r="I7" s="191"/>
      <c r="J7" s="192"/>
      <c r="K7" s="192"/>
      <c r="L7" s="193"/>
    </row>
    <row r="8" spans="2:12" ht="12.75">
      <c r="B8" s="2">
        <v>4</v>
      </c>
      <c r="C8" s="4" t="s">
        <v>6</v>
      </c>
      <c r="D8" s="191" t="s">
        <v>115</v>
      </c>
      <c r="E8" s="193"/>
      <c r="F8" s="7">
        <v>4</v>
      </c>
      <c r="G8" s="194" t="s">
        <v>6</v>
      </c>
      <c r="H8" s="195"/>
      <c r="I8" s="191"/>
      <c r="J8" s="192"/>
      <c r="K8" s="192"/>
      <c r="L8" s="193"/>
    </row>
    <row r="9" spans="2:12" ht="13.5" thickBot="1">
      <c r="B9" s="3">
        <v>5</v>
      </c>
      <c r="C9" s="5" t="s">
        <v>7</v>
      </c>
      <c r="D9" s="196" t="s">
        <v>127</v>
      </c>
      <c r="E9" s="197"/>
      <c r="F9" s="8">
        <v>5</v>
      </c>
      <c r="G9" s="189" t="s">
        <v>7</v>
      </c>
      <c r="H9" s="190"/>
      <c r="I9" s="196" t="s">
        <v>127</v>
      </c>
      <c r="J9" s="198"/>
      <c r="K9" s="198"/>
      <c r="L9" s="197"/>
    </row>
    <row r="10" spans="2:12" ht="21" customHeight="1" thickBot="1" thickTop="1">
      <c r="B10" s="172" t="s">
        <v>1</v>
      </c>
      <c r="C10" s="179" t="s">
        <v>26</v>
      </c>
      <c r="D10" s="180"/>
      <c r="E10" s="181"/>
      <c r="F10" s="172" t="s">
        <v>22</v>
      </c>
      <c r="G10" s="176" t="s">
        <v>9</v>
      </c>
      <c r="H10" s="177"/>
      <c r="I10" s="177"/>
      <c r="J10" s="177"/>
      <c r="K10" s="177"/>
      <c r="L10" s="178"/>
    </row>
    <row r="11" spans="2:12" ht="22.5" customHeight="1" thickBot="1" thickTop="1">
      <c r="B11" s="173"/>
      <c r="C11" s="182"/>
      <c r="D11" s="183"/>
      <c r="E11" s="184"/>
      <c r="F11" s="173"/>
      <c r="G11" s="170" t="s">
        <v>23</v>
      </c>
      <c r="H11" s="171"/>
      <c r="I11" s="9" t="s">
        <v>10</v>
      </c>
      <c r="J11" s="170" t="s">
        <v>11</v>
      </c>
      <c r="K11" s="171"/>
      <c r="L11" s="9" t="s">
        <v>12</v>
      </c>
    </row>
    <row r="12" spans="2:12" ht="13.5" thickTop="1">
      <c r="B12" s="153"/>
      <c r="C12" s="185" t="s">
        <v>96</v>
      </c>
      <c r="D12" s="186"/>
      <c r="E12" s="122"/>
      <c r="F12" s="121"/>
      <c r="G12" s="118"/>
      <c r="H12" s="119"/>
      <c r="I12" s="123"/>
      <c r="J12" s="118"/>
      <c r="K12" s="119"/>
      <c r="L12" s="119"/>
    </row>
    <row r="13" spans="2:12" ht="12.75">
      <c r="B13" s="153"/>
      <c r="C13" s="187" t="s">
        <v>97</v>
      </c>
      <c r="D13" s="188"/>
      <c r="E13" s="122"/>
      <c r="F13" s="121"/>
      <c r="G13" s="118"/>
      <c r="H13" s="119"/>
      <c r="I13" s="123"/>
      <c r="J13" s="118"/>
      <c r="K13" s="119"/>
      <c r="L13" s="119"/>
    </row>
    <row r="14" spans="2:12" s="19" customFormat="1" ht="25.5">
      <c r="B14" s="154">
        <v>1</v>
      </c>
      <c r="C14" s="174" t="s">
        <v>94</v>
      </c>
      <c r="D14" s="175"/>
      <c r="E14" s="125">
        <v>9.5</v>
      </c>
      <c r="F14" s="126">
        <f>G14*E14</f>
        <v>9.5</v>
      </c>
      <c r="G14" s="23">
        <v>1</v>
      </c>
      <c r="H14" s="156" t="s">
        <v>106</v>
      </c>
      <c r="I14" s="24">
        <v>100</v>
      </c>
      <c r="J14" s="33">
        <v>12</v>
      </c>
      <c r="K14" s="127" t="s">
        <v>112</v>
      </c>
      <c r="L14" s="26" t="s">
        <v>86</v>
      </c>
    </row>
    <row r="15" spans="2:12" s="19" customFormat="1" ht="25.5">
      <c r="B15" s="154">
        <v>2</v>
      </c>
      <c r="C15" s="164" t="s">
        <v>95</v>
      </c>
      <c r="D15" s="165"/>
      <c r="E15" s="125">
        <f>5%*SUM(F14:F14)</f>
        <v>0.47500000000000003</v>
      </c>
      <c r="F15" s="126">
        <f>G15*E15</f>
        <v>0.47500000000000003</v>
      </c>
      <c r="G15" s="23">
        <v>1</v>
      </c>
      <c r="H15" s="156" t="s">
        <v>106</v>
      </c>
      <c r="I15" s="24">
        <v>100</v>
      </c>
      <c r="J15" s="33">
        <v>12</v>
      </c>
      <c r="K15" s="127" t="s">
        <v>112</v>
      </c>
      <c r="L15" s="26" t="s">
        <v>86</v>
      </c>
    </row>
    <row r="16" spans="2:12" s="19" customFormat="1" ht="12.75">
      <c r="B16" s="154"/>
      <c r="C16" s="168" t="s">
        <v>98</v>
      </c>
      <c r="D16" s="169"/>
      <c r="E16" s="128"/>
      <c r="F16" s="126"/>
      <c r="G16" s="23"/>
      <c r="H16" s="156"/>
      <c r="I16" s="24"/>
      <c r="J16" s="33"/>
      <c r="K16" s="127"/>
      <c r="L16" s="26" t="s">
        <v>86</v>
      </c>
    </row>
    <row r="17" spans="2:12" s="19" customFormat="1" ht="37.5" customHeight="1">
      <c r="B17" s="154">
        <v>3</v>
      </c>
      <c r="C17" s="164" t="s">
        <v>99</v>
      </c>
      <c r="D17" s="165"/>
      <c r="E17" s="125">
        <v>1</v>
      </c>
      <c r="F17" s="126">
        <f aca="true" t="shared" si="0" ref="F17:F24">G17*E17</f>
        <v>4</v>
      </c>
      <c r="G17" s="23">
        <v>4</v>
      </c>
      <c r="H17" s="156" t="s">
        <v>107</v>
      </c>
      <c r="I17" s="24">
        <v>100</v>
      </c>
      <c r="J17" s="33">
        <v>12</v>
      </c>
      <c r="K17" s="127" t="s">
        <v>112</v>
      </c>
      <c r="L17" s="26" t="s">
        <v>86</v>
      </c>
    </row>
    <row r="18" spans="2:12" s="19" customFormat="1" ht="25.5">
      <c r="B18" s="154">
        <v>4</v>
      </c>
      <c r="C18" s="164" t="s">
        <v>123</v>
      </c>
      <c r="D18" s="165"/>
      <c r="E18" s="125">
        <v>0.15</v>
      </c>
      <c r="F18" s="126">
        <f t="shared" si="0"/>
        <v>0.15</v>
      </c>
      <c r="G18" s="23">
        <v>1</v>
      </c>
      <c r="H18" s="156" t="s">
        <v>125</v>
      </c>
      <c r="I18" s="24">
        <v>100</v>
      </c>
      <c r="J18" s="33">
        <v>12</v>
      </c>
      <c r="K18" s="127" t="s">
        <v>112</v>
      </c>
      <c r="L18" s="26" t="s">
        <v>86</v>
      </c>
    </row>
    <row r="19" spans="2:12" s="19" customFormat="1" ht="25.5">
      <c r="B19" s="154">
        <v>5</v>
      </c>
      <c r="C19" s="164" t="s">
        <v>100</v>
      </c>
      <c r="D19" s="165"/>
      <c r="E19" s="125">
        <v>1</v>
      </c>
      <c r="F19" s="126">
        <f t="shared" si="0"/>
        <v>1</v>
      </c>
      <c r="G19" s="23">
        <v>1</v>
      </c>
      <c r="H19" s="156" t="s">
        <v>108</v>
      </c>
      <c r="I19" s="24">
        <v>100</v>
      </c>
      <c r="J19" s="33">
        <v>12</v>
      </c>
      <c r="K19" s="127" t="s">
        <v>112</v>
      </c>
      <c r="L19" s="26" t="s">
        <v>86</v>
      </c>
    </row>
    <row r="20" spans="2:12" s="19" customFormat="1" ht="12.75">
      <c r="B20" s="154">
        <v>6</v>
      </c>
      <c r="C20" s="164" t="s">
        <v>101</v>
      </c>
      <c r="D20" s="165"/>
      <c r="E20" s="125">
        <v>2</v>
      </c>
      <c r="F20" s="126">
        <f t="shared" si="0"/>
        <v>2</v>
      </c>
      <c r="G20" s="23">
        <v>1</v>
      </c>
      <c r="H20" s="156" t="s">
        <v>109</v>
      </c>
      <c r="I20" s="24">
        <v>100</v>
      </c>
      <c r="J20" s="33">
        <v>12</v>
      </c>
      <c r="K20" s="127" t="s">
        <v>112</v>
      </c>
      <c r="L20" s="26" t="s">
        <v>86</v>
      </c>
    </row>
    <row r="21" spans="2:12" s="19" customFormat="1" ht="12.75">
      <c r="B21" s="154"/>
      <c r="C21" s="124" t="s">
        <v>102</v>
      </c>
      <c r="D21" s="120"/>
      <c r="E21" s="128"/>
      <c r="F21" s="126"/>
      <c r="G21" s="23"/>
      <c r="H21" s="156"/>
      <c r="I21" s="24"/>
      <c r="J21" s="33"/>
      <c r="K21" s="127"/>
      <c r="L21" s="26" t="s">
        <v>86</v>
      </c>
    </row>
    <row r="22" spans="2:12" s="19" customFormat="1" ht="25.5">
      <c r="B22" s="154">
        <v>7</v>
      </c>
      <c r="C22" s="164" t="s">
        <v>103</v>
      </c>
      <c r="D22" s="165"/>
      <c r="E22" s="125">
        <v>0.04</v>
      </c>
      <c r="F22" s="126">
        <f>(G22/2)*E22</f>
        <v>0.2</v>
      </c>
      <c r="G22" s="23">
        <v>10</v>
      </c>
      <c r="H22" s="156" t="s">
        <v>110</v>
      </c>
      <c r="I22" s="24">
        <v>100</v>
      </c>
      <c r="J22" s="33">
        <v>12</v>
      </c>
      <c r="K22" s="127" t="s">
        <v>112</v>
      </c>
      <c r="L22" s="26" t="s">
        <v>86</v>
      </c>
    </row>
    <row r="23" spans="2:12" s="19" customFormat="1" ht="12.75">
      <c r="B23" s="154">
        <v>8</v>
      </c>
      <c r="C23" s="166" t="s">
        <v>104</v>
      </c>
      <c r="D23" s="167"/>
      <c r="E23" s="125">
        <v>0.08</v>
      </c>
      <c r="F23" s="126">
        <f t="shared" si="0"/>
        <v>0.08</v>
      </c>
      <c r="G23" s="23">
        <v>1</v>
      </c>
      <c r="H23" s="156" t="s">
        <v>111</v>
      </c>
      <c r="I23" s="24">
        <v>100</v>
      </c>
      <c r="J23" s="33">
        <v>1</v>
      </c>
      <c r="K23" s="127" t="s">
        <v>112</v>
      </c>
      <c r="L23" s="26" t="s">
        <v>86</v>
      </c>
    </row>
    <row r="24" spans="2:12" s="19" customFormat="1" ht="12.75">
      <c r="B24" s="155">
        <v>9</v>
      </c>
      <c r="C24" s="216" t="s">
        <v>105</v>
      </c>
      <c r="D24" s="217"/>
      <c r="E24" s="129">
        <v>1</v>
      </c>
      <c r="F24" s="130">
        <f t="shared" si="0"/>
        <v>1</v>
      </c>
      <c r="G24" s="131">
        <v>1</v>
      </c>
      <c r="H24" s="157" t="s">
        <v>111</v>
      </c>
      <c r="I24" s="133">
        <v>100</v>
      </c>
      <c r="J24" s="134">
        <v>12</v>
      </c>
      <c r="K24" s="132" t="s">
        <v>112</v>
      </c>
      <c r="L24" s="26" t="s">
        <v>86</v>
      </c>
    </row>
    <row r="25" spans="2:12" s="19" customFormat="1" ht="17.25" customHeight="1" thickBot="1">
      <c r="B25" s="24">
        <v>10</v>
      </c>
      <c r="C25" s="174"/>
      <c r="D25" s="175"/>
      <c r="E25" s="31"/>
      <c r="F25" s="24">
        <f>E25*G25</f>
        <v>0</v>
      </c>
      <c r="G25" s="23"/>
      <c r="H25" s="32"/>
      <c r="I25" s="24"/>
      <c r="J25" s="33"/>
      <c r="K25" s="25"/>
      <c r="L25" s="26"/>
    </row>
    <row r="26" spans="2:12" s="19" customFormat="1" ht="14.25" customHeight="1" thickTop="1">
      <c r="B26" s="22">
        <v>11</v>
      </c>
      <c r="C26" s="174"/>
      <c r="D26" s="175"/>
      <c r="E26" s="31"/>
      <c r="F26" s="99">
        <f>E26*G26</f>
        <v>0</v>
      </c>
      <c r="G26" s="23"/>
      <c r="H26" s="32"/>
      <c r="I26" s="24"/>
      <c r="J26" s="33"/>
      <c r="K26" s="25"/>
      <c r="L26" s="26"/>
    </row>
    <row r="27" spans="2:12" s="19" customFormat="1" ht="13.5" customHeight="1" thickBot="1">
      <c r="B27" s="24">
        <v>12</v>
      </c>
      <c r="C27" s="213" t="s">
        <v>113</v>
      </c>
      <c r="D27" s="214"/>
      <c r="E27" s="35"/>
      <c r="F27" s="135">
        <f>SUM(F14:F26)</f>
        <v>18.404999999999998</v>
      </c>
      <c r="G27" s="36"/>
      <c r="H27" s="37"/>
      <c r="I27" s="27"/>
      <c r="J27" s="34"/>
      <c r="K27" s="28"/>
      <c r="L27" s="29"/>
    </row>
    <row r="28" ht="6.75" customHeight="1" thickTop="1"/>
    <row r="29" spans="8:12" ht="12.75">
      <c r="H29" s="212" t="s">
        <v>121</v>
      </c>
      <c r="I29" s="162"/>
      <c r="J29" s="162"/>
      <c r="K29" s="162"/>
      <c r="L29" s="162"/>
    </row>
    <row r="30" spans="2:12" ht="12.75">
      <c r="B30" s="162" t="s">
        <v>25</v>
      </c>
      <c r="C30" s="162"/>
      <c r="D30" s="162"/>
      <c r="E30" s="162"/>
      <c r="F30" s="162"/>
      <c r="G30" s="16"/>
      <c r="H30" s="162" t="s">
        <v>13</v>
      </c>
      <c r="I30" s="162"/>
      <c r="J30" s="162"/>
      <c r="K30" s="162"/>
      <c r="L30" s="162"/>
    </row>
    <row r="31" spans="2:12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4" spans="2:12" ht="12.75">
      <c r="B34" s="161" t="str">
        <f>D5</f>
        <v>Drs.Lugtyastyono Budi Nugroho , M.Pd</v>
      </c>
      <c r="C34" s="161"/>
      <c r="D34" s="161"/>
      <c r="E34" s="161"/>
      <c r="F34" s="161"/>
      <c r="G34" s="16"/>
      <c r="H34" s="161">
        <f>I5</f>
        <v>0</v>
      </c>
      <c r="I34" s="161"/>
      <c r="J34" s="161"/>
      <c r="K34" s="161"/>
      <c r="L34" s="161"/>
    </row>
    <row r="35" spans="2:12" ht="12.75">
      <c r="B35" s="162" t="str">
        <f>D6</f>
        <v>19600824  199112 1 002</v>
      </c>
      <c r="C35" s="162"/>
      <c r="D35" s="162"/>
      <c r="E35" s="162"/>
      <c r="F35" s="162"/>
      <c r="H35" s="162">
        <f>I6</f>
        <v>0</v>
      </c>
      <c r="I35" s="162"/>
      <c r="J35" s="162"/>
      <c r="K35" s="162"/>
      <c r="L35" s="162"/>
    </row>
    <row r="37" spans="2:7" ht="12.75">
      <c r="B37" s="163" t="s">
        <v>116</v>
      </c>
      <c r="C37" s="163"/>
      <c r="D37" s="163"/>
      <c r="E37" s="163"/>
      <c r="F37" s="163"/>
      <c r="G37" s="17"/>
    </row>
    <row r="38" spans="2:7" ht="12.75">
      <c r="B38" s="218" t="s">
        <v>117</v>
      </c>
      <c r="C38" s="215"/>
      <c r="D38" s="215"/>
      <c r="E38" s="215"/>
      <c r="F38" s="215"/>
      <c r="G38" s="17"/>
    </row>
    <row r="39" spans="2:7" ht="12.75">
      <c r="B39" s="215" t="s">
        <v>118</v>
      </c>
      <c r="C39" s="215"/>
      <c r="D39" s="215"/>
      <c r="E39" s="215"/>
      <c r="F39" s="215"/>
      <c r="G39" s="16"/>
    </row>
    <row r="40" ht="12.75">
      <c r="B40" t="s">
        <v>119</v>
      </c>
    </row>
    <row r="41" ht="12.75">
      <c r="B41" t="s">
        <v>120</v>
      </c>
    </row>
    <row r="43" spans="2:12" ht="12.7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2:12" ht="12.7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2:12" ht="12.7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2:12" ht="12.7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2:12" ht="12.7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</sheetData>
  <sheetProtection/>
  <mergeCells count="50">
    <mergeCell ref="B10:B11"/>
    <mergeCell ref="B39:F39"/>
    <mergeCell ref="B34:F34"/>
    <mergeCell ref="B30:F30"/>
    <mergeCell ref="B35:F35"/>
    <mergeCell ref="C24:D24"/>
    <mergeCell ref="C25:D25"/>
    <mergeCell ref="C26:D26"/>
    <mergeCell ref="C19:D19"/>
    <mergeCell ref="B38:F38"/>
    <mergeCell ref="D6:E6"/>
    <mergeCell ref="G5:H5"/>
    <mergeCell ref="I6:L6"/>
    <mergeCell ref="H30:L30"/>
    <mergeCell ref="H29:L29"/>
    <mergeCell ref="C27:D27"/>
    <mergeCell ref="G6:H6"/>
    <mergeCell ref="G7:H7"/>
    <mergeCell ref="D7:E7"/>
    <mergeCell ref="I7:L7"/>
    <mergeCell ref="B2:L2"/>
    <mergeCell ref="B3:L3"/>
    <mergeCell ref="I5:L5"/>
    <mergeCell ref="C4:E4"/>
    <mergeCell ref="D5:E5"/>
    <mergeCell ref="G4:L4"/>
    <mergeCell ref="G9:H9"/>
    <mergeCell ref="I8:L8"/>
    <mergeCell ref="G8:H8"/>
    <mergeCell ref="D8:E8"/>
    <mergeCell ref="D9:E9"/>
    <mergeCell ref="I9:L9"/>
    <mergeCell ref="J11:K11"/>
    <mergeCell ref="F10:F11"/>
    <mergeCell ref="C14:D14"/>
    <mergeCell ref="G10:L10"/>
    <mergeCell ref="C10:E11"/>
    <mergeCell ref="G11:H11"/>
    <mergeCell ref="C12:D12"/>
    <mergeCell ref="C13:D13"/>
    <mergeCell ref="H34:L34"/>
    <mergeCell ref="H35:L35"/>
    <mergeCell ref="B37:F37"/>
    <mergeCell ref="C20:D20"/>
    <mergeCell ref="C22:D22"/>
    <mergeCell ref="C15:D15"/>
    <mergeCell ref="C23:D23"/>
    <mergeCell ref="C16:D16"/>
    <mergeCell ref="C18:D18"/>
    <mergeCell ref="C17:D17"/>
  </mergeCells>
  <dataValidations count="1">
    <dataValidation type="textLength" operator="equal" allowBlank="1" showInputMessage="1" showErrorMessage="1" sqref="I6:L6">
      <formula1>18</formula1>
    </dataValidation>
  </dataValidations>
  <printOptions/>
  <pageMargins left="0.7480314960629921" right="0.52" top="0.6692913385826772" bottom="0.4724409448818898" header="0.5118110236220472" footer="0.27559055118110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3">
      <selection activeCell="A33" sqref="A33:IV65536"/>
    </sheetView>
  </sheetViews>
  <sheetFormatPr defaultColWidth="0" defaultRowHeight="12.75" zeroHeight="1"/>
  <cols>
    <col min="1" max="1" width="4.28125" style="0" customWidth="1"/>
    <col min="2" max="2" width="30.421875" style="0" customWidth="1"/>
    <col min="3" max="3" width="4.7109375" style="147" customWidth="1"/>
    <col min="4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7.421875" style="0" customWidth="1"/>
    <col min="10" max="10" width="4.7109375" style="147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8.140625" style="0" customWidth="1"/>
    <col min="17" max="17" width="13.140625" style="0" customWidth="1"/>
    <col min="18" max="18" width="9.421875" style="0" customWidth="1"/>
    <col min="19" max="19" width="9.140625" style="0" customWidth="1"/>
    <col min="20" max="20" width="4.28125" style="0" hidden="1" customWidth="1"/>
    <col min="21" max="21" width="10.00390625" style="0" hidden="1" customWidth="1"/>
    <col min="22" max="22" width="9.140625" style="0" hidden="1" customWidth="1"/>
    <col min="23" max="23" width="12.00390625" style="0" hidden="1" customWidth="1"/>
    <col min="24" max="24" width="11.421875" style="0" hidden="1" customWidth="1"/>
    <col min="25" max="25" width="8.421875" style="0" hidden="1" customWidth="1"/>
    <col min="26" max="26" width="19.8515625" style="0" hidden="1" customWidth="1"/>
    <col min="27" max="27" width="10.421875" style="0" hidden="1" customWidth="1"/>
    <col min="28" max="28" width="7.421875" style="0" hidden="1" customWidth="1"/>
    <col min="29" max="30" width="10.421875" style="0" hidden="1" customWidth="1"/>
    <col min="31" max="32" width="8.421875" style="0" hidden="1" customWidth="1"/>
    <col min="33" max="33" width="12.00390625" style="0" hidden="1" customWidth="1"/>
    <col min="34" max="43" width="9.140625" style="0" hidden="1" customWidth="1"/>
    <col min="44" max="16384" width="0" style="0" hidden="1" customWidth="1"/>
  </cols>
  <sheetData>
    <row r="1" spans="1:18" ht="15.75">
      <c r="A1" s="199" t="s">
        <v>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.75">
      <c r="A2" s="199" t="s">
        <v>67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7" ht="4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2" ht="13.5" thickBot="1">
      <c r="A4" s="140" t="s">
        <v>122</v>
      </c>
      <c r="B4" s="11"/>
      <c r="C4" s="141"/>
      <c r="D4" s="11"/>
      <c r="E4" s="11"/>
      <c r="F4" s="11"/>
      <c r="L4">
        <f>5%*7.13</f>
        <v>0.35650000000000004</v>
      </c>
    </row>
    <row r="5" spans="1:36" ht="13.5" customHeight="1" thickBot="1" thickTop="1">
      <c r="A5" s="172" t="s">
        <v>1</v>
      </c>
      <c r="B5" s="242" t="s">
        <v>27</v>
      </c>
      <c r="C5" s="244" t="s">
        <v>22</v>
      </c>
      <c r="D5" s="176" t="s">
        <v>9</v>
      </c>
      <c r="E5" s="177"/>
      <c r="F5" s="177"/>
      <c r="G5" s="177"/>
      <c r="H5" s="177"/>
      <c r="I5" s="178"/>
      <c r="J5" s="246" t="s">
        <v>22</v>
      </c>
      <c r="K5" s="176" t="s">
        <v>14</v>
      </c>
      <c r="L5" s="177"/>
      <c r="M5" s="177"/>
      <c r="N5" s="177"/>
      <c r="O5" s="177"/>
      <c r="P5" s="178"/>
      <c r="Q5" s="223" t="s">
        <v>15</v>
      </c>
      <c r="R5" s="240" t="s">
        <v>21</v>
      </c>
      <c r="AB5" s="49"/>
      <c r="AC5" s="49"/>
      <c r="AD5" s="49"/>
      <c r="AE5" s="49"/>
      <c r="AF5" s="49"/>
      <c r="AG5" s="49"/>
      <c r="AH5" s="49"/>
      <c r="AI5" s="49"/>
      <c r="AJ5" s="49"/>
    </row>
    <row r="6" spans="1:34" ht="24.75" customHeight="1" thickBot="1" thickTop="1">
      <c r="A6" s="173"/>
      <c r="B6" s="243"/>
      <c r="C6" s="245"/>
      <c r="D6" s="221" t="s">
        <v>24</v>
      </c>
      <c r="E6" s="222"/>
      <c r="F6" s="10" t="s">
        <v>16</v>
      </c>
      <c r="G6" s="221" t="s">
        <v>17</v>
      </c>
      <c r="H6" s="222"/>
      <c r="I6" s="10" t="s">
        <v>18</v>
      </c>
      <c r="J6" s="247"/>
      <c r="K6" s="221" t="s">
        <v>24</v>
      </c>
      <c r="L6" s="222"/>
      <c r="M6" s="10" t="s">
        <v>16</v>
      </c>
      <c r="N6" s="221" t="s">
        <v>17</v>
      </c>
      <c r="O6" s="222"/>
      <c r="P6" s="10" t="s">
        <v>18</v>
      </c>
      <c r="Q6" s="224"/>
      <c r="R6" s="241"/>
      <c r="W6" s="50" t="s">
        <v>36</v>
      </c>
      <c r="X6" s="50" t="s">
        <v>37</v>
      </c>
      <c r="Y6" s="50" t="s">
        <v>30</v>
      </c>
      <c r="Z6" s="50" t="s">
        <v>31</v>
      </c>
      <c r="AA6" s="50" t="s">
        <v>32</v>
      </c>
      <c r="AB6" s="50" t="s">
        <v>33</v>
      </c>
      <c r="AC6" s="50" t="s">
        <v>40</v>
      </c>
      <c r="AD6" s="50" t="s">
        <v>41</v>
      </c>
      <c r="AE6" s="50" t="s">
        <v>42</v>
      </c>
      <c r="AF6" s="50" t="s">
        <v>43</v>
      </c>
      <c r="AG6" s="50"/>
      <c r="AH6" s="50"/>
    </row>
    <row r="7" spans="1:18" ht="7.5" customHeight="1" thickBot="1" thickTop="1">
      <c r="A7" s="13">
        <v>1</v>
      </c>
      <c r="B7" s="14">
        <v>2</v>
      </c>
      <c r="C7" s="148">
        <v>3</v>
      </c>
      <c r="D7" s="219">
        <v>4</v>
      </c>
      <c r="E7" s="220"/>
      <c r="F7" s="14">
        <v>5</v>
      </c>
      <c r="G7" s="219">
        <v>6</v>
      </c>
      <c r="H7" s="220"/>
      <c r="I7" s="14">
        <v>7</v>
      </c>
      <c r="J7" s="148">
        <v>8</v>
      </c>
      <c r="K7" s="219">
        <v>9</v>
      </c>
      <c r="L7" s="220"/>
      <c r="M7" s="14">
        <v>10</v>
      </c>
      <c r="N7" s="219">
        <v>11</v>
      </c>
      <c r="O7" s="220"/>
      <c r="P7" s="14">
        <v>12</v>
      </c>
      <c r="Q7" s="15">
        <v>13</v>
      </c>
      <c r="R7" s="14">
        <v>14</v>
      </c>
    </row>
    <row r="8" spans="1:44" s="20" customFormat="1" ht="52.5" thickBot="1" thickTop="1">
      <c r="A8" s="100">
        <v>1</v>
      </c>
      <c r="B8" s="136" t="str">
        <f>SKP2!C14</f>
        <v>Merencanakan dan melaksanakan pembelajaran, mengevaluasi dan menilai hasil pembelajaran menganalisis hasil pembelajaran, melaksanakan tindak lanjut hasil penilaian</v>
      </c>
      <c r="C8" s="142">
        <f>SKP2!F14</f>
        <v>9.5</v>
      </c>
      <c r="D8" s="101">
        <f>SKP2!G14</f>
        <v>1</v>
      </c>
      <c r="E8" s="102" t="str">
        <f>SKP2!H14</f>
        <v>Laporan Penilaian Kinerja</v>
      </c>
      <c r="F8" s="103">
        <f>SKP2!I14</f>
        <v>100</v>
      </c>
      <c r="G8" s="101">
        <f>SKP2!J14</f>
        <v>12</v>
      </c>
      <c r="H8" s="103" t="str">
        <f>SKP2!K14</f>
        <v>Bulan</v>
      </c>
      <c r="I8" s="115" t="str">
        <f>SKP2!L14</f>
        <v>-</v>
      </c>
      <c r="J8" s="159">
        <f>(M8/100)*C8</f>
        <v>7.125</v>
      </c>
      <c r="K8" s="101">
        <v>1</v>
      </c>
      <c r="L8" s="102" t="str">
        <f aca="true" t="shared" si="0" ref="L8:L16">E8</f>
        <v>Laporan Penilaian Kinerja</v>
      </c>
      <c r="M8" s="158">
        <v>75</v>
      </c>
      <c r="N8" s="101">
        <v>12</v>
      </c>
      <c r="O8" s="103" t="str">
        <f aca="true" t="shared" si="1" ref="O8:O16">H8</f>
        <v>Bulan</v>
      </c>
      <c r="P8" s="104" t="s">
        <v>86</v>
      </c>
      <c r="Q8" s="105">
        <f>AG8</f>
        <v>251</v>
      </c>
      <c r="R8" s="105">
        <f>IF(I8="-",IF(P8="-",Q8/3,Q8/4),Q8/4)</f>
        <v>83.66666666666667</v>
      </c>
      <c r="T8" s="20">
        <f>IF(D8&gt;0,1,0)</f>
        <v>1</v>
      </c>
      <c r="U8" s="20">
        <f>_xlfn.IFERROR(R8,0)</f>
        <v>83.66666666666667</v>
      </c>
      <c r="W8" s="20">
        <f>100-(N8/G8*100)</f>
        <v>0</v>
      </c>
      <c r="X8" s="51" t="e">
        <f>100-(P8/I8*100)</f>
        <v>#VALUE!</v>
      </c>
      <c r="Y8" s="20">
        <f>K8/D8*100</f>
        <v>100</v>
      </c>
      <c r="Z8" s="20">
        <f>M8/F8*100</f>
        <v>75</v>
      </c>
      <c r="AA8" s="47">
        <f>IF(W8&gt;24,AD8,AC8)</f>
        <v>76.00000000000001</v>
      </c>
      <c r="AB8" s="47" t="e">
        <f>IF(X8&gt;24,AF8,AE8)</f>
        <v>#VALUE!</v>
      </c>
      <c r="AC8" s="20">
        <f>((1.76*G8-N8)/G8)*100</f>
        <v>76.00000000000001</v>
      </c>
      <c r="AD8" s="20">
        <f>76-((((1.76*G8-N8)/G8)*100)-100)</f>
        <v>99.99999999999999</v>
      </c>
      <c r="AE8" s="137" t="e">
        <f>((1.76*I8-P8)/I8)*100</f>
        <v>#VALUE!</v>
      </c>
      <c r="AF8" s="137" t="e">
        <f>76-((((1.76*I8-P8)/I8)*100)-100)</f>
        <v>#VALUE!</v>
      </c>
      <c r="AG8" s="137">
        <f>_xlfn.IFERROR(SUM(Y8:AB8),SUM(Y8:AA8))</f>
        <v>251</v>
      </c>
      <c r="AH8" s="137"/>
      <c r="AK8" s="52">
        <f>100-(N8/G8*100)</f>
        <v>0</v>
      </c>
      <c r="AL8" s="53" t="e">
        <f>100-(P8/I8*100)</f>
        <v>#VALUE!</v>
      </c>
      <c r="AM8" s="47" t="e">
        <f>IF(AND(AK8&gt;24,AL8&gt;24),(_xlfn.IFERROR(((K8/D8*100)+(M8/F8*100)+(76-((((1.76*G8-N8)/G8)*100)-100))+(76-((((1.76*I8-P8)/I8)*100)-100))),((K8/D8*100)+(M8/F8*100)+(76-((((1.76*G8-N8)/G8)*100)-100))))),(_xlfn.IFERROR(((K8/D8*100)+(M8/F8*100)+(((1.76*G8-N8)/G8)*100))+(((1.76*I8-P8)/I8)*100),((K8/D8*100)+(M8/F8*100)+(((1.76*G8-N8)/G8)*100)))))</f>
        <v>#VALUE!</v>
      </c>
      <c r="AN8" s="138">
        <f>IF(AK8&gt;24,(((K8/D8*100)+(M8/F8*100)+(76-((((1.76*G8-N8)/G8)*100)-100)))),(((K8/D8*100)+(M8/F8*100)+(((1.76*G8-N8)/G8)*100))))</f>
        <v>251</v>
      </c>
      <c r="AO8" s="20">
        <f>_xlfn.IFERROR(AM8,AN8)</f>
        <v>251</v>
      </c>
      <c r="AP8" s="152">
        <f>SUM(R8:R9)</f>
        <v>167.33333333333334</v>
      </c>
      <c r="AQ8" s="152">
        <f>AVERAGE(R8:R9)</f>
        <v>83.66666666666667</v>
      </c>
      <c r="AR8" s="152">
        <f>AQ8*70%</f>
        <v>58.56666666666666</v>
      </c>
    </row>
    <row r="9" spans="1:44" s="20" customFormat="1" ht="39.75" thickBot="1" thickTop="1">
      <c r="A9" s="38">
        <v>2</v>
      </c>
      <c r="B9" s="139" t="str">
        <f>SKP2!C15</f>
        <v>Menjadi Wali Kelas </v>
      </c>
      <c r="C9" s="143">
        <f>SKP2!F15</f>
        <v>0.47500000000000003</v>
      </c>
      <c r="D9" s="110">
        <f>SKP2!G15</f>
        <v>1</v>
      </c>
      <c r="E9" s="111" t="str">
        <f>SKP2!H15</f>
        <v>Laporan Penilaian Kinerja</v>
      </c>
      <c r="F9" s="112">
        <f>SKP2!I15</f>
        <v>100</v>
      </c>
      <c r="G9" s="110">
        <f>SKP2!J15</f>
        <v>12</v>
      </c>
      <c r="H9" s="112" t="str">
        <f>SKP2!K15</f>
        <v>Bulan</v>
      </c>
      <c r="I9" s="116" t="str">
        <f>SKP2!L15</f>
        <v>-</v>
      </c>
      <c r="J9" s="159">
        <f>(M9/100)*C9</f>
        <v>0.35625</v>
      </c>
      <c r="K9" s="110">
        <v>1</v>
      </c>
      <c r="L9" s="111" t="str">
        <f t="shared" si="0"/>
        <v>Laporan Penilaian Kinerja</v>
      </c>
      <c r="M9" s="160">
        <v>75</v>
      </c>
      <c r="N9" s="110">
        <v>12</v>
      </c>
      <c r="O9" s="112" t="str">
        <f t="shared" si="1"/>
        <v>Bulan</v>
      </c>
      <c r="P9" s="104" t="s">
        <v>86</v>
      </c>
      <c r="Q9" s="114">
        <f aca="true" t="shared" si="2" ref="Q9:Q16">AG9</f>
        <v>251</v>
      </c>
      <c r="R9" s="114">
        <f aca="true" t="shared" si="3" ref="R9:R16">IF(I9="-",IF(P9="-",Q9/3,Q9/4),Q9/4)</f>
        <v>83.66666666666667</v>
      </c>
      <c r="T9" s="20">
        <f aca="true" t="shared" si="4" ref="T9:T16">IF(D9&gt;0,1,0)</f>
        <v>1</v>
      </c>
      <c r="U9" s="20">
        <f aca="true" t="shared" si="5" ref="U9:U16">_xlfn.IFERROR(R9,0)</f>
        <v>83.66666666666667</v>
      </c>
      <c r="W9" s="20">
        <f aca="true" t="shared" si="6" ref="W9:W16">100-(N9/G9*100)</f>
        <v>0</v>
      </c>
      <c r="X9" s="51" t="e">
        <f aca="true" t="shared" si="7" ref="X9:X16">100-(P9/I9*100)</f>
        <v>#VALUE!</v>
      </c>
      <c r="Y9" s="20">
        <f aca="true" t="shared" si="8" ref="Y9:Y16">K9/D9*100</f>
        <v>100</v>
      </c>
      <c r="Z9" s="20">
        <f aca="true" t="shared" si="9" ref="Z9:Z16">M9/F9*100</f>
        <v>75</v>
      </c>
      <c r="AA9" s="47">
        <f aca="true" t="shared" si="10" ref="AA9:AA16">IF(W9&gt;24,AD9,AC9)</f>
        <v>76.00000000000001</v>
      </c>
      <c r="AB9" s="47" t="e">
        <f aca="true" t="shared" si="11" ref="AB9:AB16">IF(X9&gt;24,AF9,AE9)</f>
        <v>#VALUE!</v>
      </c>
      <c r="AC9" s="20">
        <f aca="true" t="shared" si="12" ref="AC9:AC16">((1.76*G9-N9)/G9)*100</f>
        <v>76.00000000000001</v>
      </c>
      <c r="AD9" s="20">
        <f aca="true" t="shared" si="13" ref="AD9:AD16">76-((((1.76*G9-N9)/G9)*100)-100)</f>
        <v>99.99999999999999</v>
      </c>
      <c r="AE9" s="137" t="e">
        <f aca="true" t="shared" si="14" ref="AE9:AE16">((1.76*I9-P9)/I9)*100</f>
        <v>#VALUE!</v>
      </c>
      <c r="AF9" s="137" t="e">
        <f aca="true" t="shared" si="15" ref="AF9:AF16">76-((((1.76*I9-P9)/I9)*100)-100)</f>
        <v>#VALUE!</v>
      </c>
      <c r="AG9" s="137">
        <f aca="true" t="shared" si="16" ref="AG9:AG16">_xlfn.IFERROR(SUM(Y9:AB9),SUM(Y9:AA9))</f>
        <v>251</v>
      </c>
      <c r="AH9" s="137"/>
      <c r="AK9" s="52">
        <f aca="true" t="shared" si="17" ref="AK9:AK16">100-(N9/G9*100)</f>
        <v>0</v>
      </c>
      <c r="AL9" s="53" t="e">
        <f aca="true" t="shared" si="18" ref="AL9:AL16">100-(P9/I9*100)</f>
        <v>#VALUE!</v>
      </c>
      <c r="AM9" s="47" t="e">
        <f aca="true" t="shared" si="19" ref="AM9:AM16">IF(AND(AK9&gt;24,AL9&gt;24),(_xlfn.IFERROR(((K9/D9*100)+(M9/F9*100)+(76-((((1.76*G9-N9)/G9)*100)-100))+(76-((((1.76*I9-P9)/I9)*100)-100))),((K9/D9*100)+(M9/F9*100)+(76-((((1.76*G9-N9)/G9)*100)-100))))),(_xlfn.IFERROR(((K9/D9*100)+(M9/F9*100)+(((1.76*G9-N9)/G9)*100))+(((1.76*I9-P9)/I9)*100),((K9/D9*100)+(M9/F9*100)+(((1.76*G9-N9)/G9)*100)))))</f>
        <v>#VALUE!</v>
      </c>
      <c r="AN9" s="138">
        <f aca="true" t="shared" si="20" ref="AN9:AN16">IF(AK9&gt;24,(((K9/D9*100)+(M9/F9*100)+(76-((((1.76*G9-N9)/G9)*100)-100)))),(((K9/D9*100)+(M9/F9*100)+(((1.76*G9-N9)/G9)*100))))</f>
        <v>251</v>
      </c>
      <c r="AO9" s="20">
        <f aca="true" t="shared" si="21" ref="AO9:AO16">_xlfn.IFERROR(AM9,AN9)</f>
        <v>251</v>
      </c>
      <c r="AR9" s="152"/>
    </row>
    <row r="10" spans="1:44" s="20" customFormat="1" ht="90.75" thickBot="1" thickTop="1">
      <c r="A10" s="38">
        <v>3</v>
      </c>
      <c r="B10" s="139" t="str">
        <f>SKP2!C18</f>
        <v>Mengikuti Kegiatan Kolektif Guru dalam Menyusun Perangkat Pembelajaran (0.15 AK/Surat Keterangan dan Laporan Kegiatan)</v>
      </c>
      <c r="C10" s="143">
        <f>SKP2!F17</f>
        <v>4</v>
      </c>
      <c r="D10" s="110">
        <f>SKP2!G17</f>
        <v>4</v>
      </c>
      <c r="E10" s="111" t="str">
        <f>SKP2!H17</f>
        <v>Surat Tugas, Laporan Deskripsi Hasil Pelatihan, Sertifikat</v>
      </c>
      <c r="F10" s="112">
        <f>SKP2!I17</f>
        <v>100</v>
      </c>
      <c r="G10" s="110">
        <f>SKP2!J17</f>
        <v>12</v>
      </c>
      <c r="H10" s="112" t="str">
        <f>SKP2!K17</f>
        <v>Bulan</v>
      </c>
      <c r="I10" s="116" t="str">
        <f>SKP2!L17</f>
        <v>-</v>
      </c>
      <c r="J10" s="143">
        <f>K10*SKP2!E17</f>
        <v>4</v>
      </c>
      <c r="K10" s="110">
        <v>4</v>
      </c>
      <c r="L10" s="111" t="str">
        <f>E10</f>
        <v>Surat Tugas, Laporan Deskripsi Hasil Pelatihan, Sertifikat</v>
      </c>
      <c r="M10" s="38">
        <v>90</v>
      </c>
      <c r="N10" s="110">
        <v>12</v>
      </c>
      <c r="O10" s="112" t="str">
        <f>H10</f>
        <v>Bulan</v>
      </c>
      <c r="P10" s="104" t="s">
        <v>86</v>
      </c>
      <c r="Q10" s="114">
        <f>AG10</f>
        <v>266</v>
      </c>
      <c r="R10" s="114">
        <f>IF(I10="-",IF(P10="-",Q10/3,Q10/4),Q10/4)</f>
        <v>88.66666666666667</v>
      </c>
      <c r="T10" s="20">
        <f>IF(D10&gt;0,1,0)</f>
        <v>1</v>
      </c>
      <c r="U10" s="20">
        <f>_xlfn.IFERROR(R10,0)</f>
        <v>88.66666666666667</v>
      </c>
      <c r="W10" s="20">
        <f>100-(N10/G10*100)</f>
        <v>0</v>
      </c>
      <c r="X10" s="51" t="e">
        <f>100-(P10/I10*100)</f>
        <v>#VALUE!</v>
      </c>
      <c r="Y10" s="20">
        <f>K10/D10*100</f>
        <v>100</v>
      </c>
      <c r="Z10" s="20">
        <f>M10/F10*100</f>
        <v>90</v>
      </c>
      <c r="AA10" s="47">
        <f>IF(W10&gt;24,AD10,AC10)</f>
        <v>76.00000000000001</v>
      </c>
      <c r="AB10" s="47" t="e">
        <f>IF(X10&gt;24,AF10,AE10)</f>
        <v>#VALUE!</v>
      </c>
      <c r="AC10" s="20">
        <f>((1.76*G10-N10)/G10)*100</f>
        <v>76.00000000000001</v>
      </c>
      <c r="AD10" s="20">
        <f>76-((((1.76*G10-N10)/G10)*100)-100)</f>
        <v>99.99999999999999</v>
      </c>
      <c r="AE10" s="137" t="e">
        <f>((1.76*I10-P10)/I10)*100</f>
        <v>#VALUE!</v>
      </c>
      <c r="AF10" s="137" t="e">
        <f>76-((((1.76*I10-P10)/I10)*100)-100)</f>
        <v>#VALUE!</v>
      </c>
      <c r="AG10" s="137">
        <f>_xlfn.IFERROR(SUM(Y10:AB10),SUM(Y10:AA10))</f>
        <v>266</v>
      </c>
      <c r="AH10" s="137"/>
      <c r="AK10" s="52">
        <f>100-(N10/G10*100)</f>
        <v>0</v>
      </c>
      <c r="AL10" s="53" t="e">
        <f>100-(P10/I10*100)</f>
        <v>#VALUE!</v>
      </c>
      <c r="AM10" s="47" t="e">
        <f>IF(AND(AK10&gt;24,AL10&gt;24),(_xlfn.IFERROR(((K10/D10*100)+(M10/F10*100)+(76-((((1.76*G10-N10)/G10)*100)-100))+(76-((((1.76*I10-P10)/I10)*100)-100))),((K10/D10*100)+(M10/F10*100)+(76-((((1.76*G10-N10)/G10)*100)-100))))),(_xlfn.IFERROR(((K10/D10*100)+(M10/F10*100)+(((1.76*G10-N10)/G10)*100))+(((1.76*I10-P10)/I10)*100),((K10/D10*100)+(M10/F10*100)+(((1.76*G10-N10)/G10)*100)))))</f>
        <v>#VALUE!</v>
      </c>
      <c r="AN10" s="138">
        <f>IF(AK10&gt;24,(((K10/D10*100)+(M10/F10*100)+(76-((((1.76*G10-N10)/G10)*100)-100)))),(((K10/D10*100)+(M10/F10*100)+(((1.76*G10-N10)/G10)*100))))</f>
        <v>266</v>
      </c>
      <c r="AO10" s="20">
        <f>_xlfn.IFERROR(AM10,AN10)</f>
        <v>266</v>
      </c>
      <c r="AP10" s="152">
        <f>SUM(R10:R16)</f>
        <v>607.3333333333334</v>
      </c>
      <c r="AQ10" s="152">
        <f>AVERAGE(R10:R16)</f>
        <v>86.76190476190477</v>
      </c>
      <c r="AR10" s="152">
        <f>AQ10*30%</f>
        <v>26.028571428571432</v>
      </c>
    </row>
    <row r="11" spans="1:45" s="20" customFormat="1" ht="65.25" thickBot="1" thickTop="1">
      <c r="A11" s="38">
        <v>4</v>
      </c>
      <c r="B11" s="139" t="str">
        <f>SKP2!C17</f>
        <v>Mengikuti Diklat Fungsional Lamanya 30 s.d 80 Jam** (1 AK/Surat Tugas, Laporan Deskripsi Hasil Pelatihan, Sertifikat)</v>
      </c>
      <c r="C11" s="143">
        <f>SKP2!F18</f>
        <v>0.15</v>
      </c>
      <c r="D11" s="110">
        <f>SKP2!G18</f>
        <v>1</v>
      </c>
      <c r="E11" s="111" t="str">
        <f>SKP2!H18</f>
        <v>Surat Keterangan dan Laporan Kegiatan</v>
      </c>
      <c r="F11" s="112">
        <f>SKP2!I18</f>
        <v>100</v>
      </c>
      <c r="G11" s="110">
        <f>SKP2!J18</f>
        <v>12</v>
      </c>
      <c r="H11" s="112" t="str">
        <f>SKP2!K18</f>
        <v>Bulan</v>
      </c>
      <c r="I11" s="116" t="str">
        <f>SKP2!L18</f>
        <v>-</v>
      </c>
      <c r="J11" s="143">
        <f>K11*SKP2!E18</f>
        <v>0.15</v>
      </c>
      <c r="K11" s="110">
        <v>1</v>
      </c>
      <c r="L11" s="111" t="str">
        <f>E11</f>
        <v>Surat Keterangan dan Laporan Kegiatan</v>
      </c>
      <c r="M11" s="38">
        <v>100</v>
      </c>
      <c r="N11" s="110">
        <v>12</v>
      </c>
      <c r="O11" s="112" t="str">
        <f>H11</f>
        <v>Bulan</v>
      </c>
      <c r="P11" s="104" t="s">
        <v>86</v>
      </c>
      <c r="Q11" s="114">
        <f>AG11</f>
        <v>276</v>
      </c>
      <c r="R11" s="114">
        <f>IF(I11="-",IF(P11="-",Q11/3,Q11/4),Q11/4)</f>
        <v>92</v>
      </c>
      <c r="T11" s="20">
        <f>IF(D11&gt;0,1,0)</f>
        <v>1</v>
      </c>
      <c r="U11" s="20">
        <f>_xlfn.IFERROR(R11,0)</f>
        <v>92</v>
      </c>
      <c r="W11" s="20">
        <f>100-(N11/G11*100)</f>
        <v>0</v>
      </c>
      <c r="X11" s="51" t="e">
        <f>100-(P11/I11*100)</f>
        <v>#VALUE!</v>
      </c>
      <c r="Y11" s="20">
        <f>K11/D11*100</f>
        <v>100</v>
      </c>
      <c r="Z11" s="20">
        <f>M11/F11*100</f>
        <v>100</v>
      </c>
      <c r="AA11" s="47">
        <f>IF(W11&gt;24,AD11,AC11)</f>
        <v>76.00000000000001</v>
      </c>
      <c r="AB11" s="47" t="e">
        <f>IF(X11&gt;24,AF11,AE11)</f>
        <v>#VALUE!</v>
      </c>
      <c r="AC11" s="20">
        <f>((1.76*G11-N11)/G11)*100</f>
        <v>76.00000000000001</v>
      </c>
      <c r="AD11" s="20">
        <f>76-((((1.76*G11-N11)/G11)*100)-100)</f>
        <v>99.99999999999999</v>
      </c>
      <c r="AE11" s="137" t="e">
        <f>((1.76*I11-P11)/I11)*100</f>
        <v>#VALUE!</v>
      </c>
      <c r="AF11" s="137" t="e">
        <f>76-((((1.76*I11-P11)/I11)*100)-100)</f>
        <v>#VALUE!</v>
      </c>
      <c r="AG11" s="137">
        <f>_xlfn.IFERROR(SUM(Y11:AB11),SUM(Y11:AA11))</f>
        <v>276</v>
      </c>
      <c r="AH11" s="137"/>
      <c r="AK11" s="52">
        <f>100-(N11/G11*100)</f>
        <v>0</v>
      </c>
      <c r="AL11" s="53" t="e">
        <f>100-(P11/I11*100)</f>
        <v>#VALUE!</v>
      </c>
      <c r="AM11" s="47" t="e">
        <f>IF(AND(AK11&gt;24,AL11&gt;24),(_xlfn.IFERROR(((K11/D11*100)+(M11/F11*100)+(76-((((1.76*G11-N11)/G11)*100)-100))+(76-((((1.76*I11-P11)/I11)*100)-100))),((K11/D11*100)+(M11/F11*100)+(76-((((1.76*G11-N11)/G11)*100)-100))))),(_xlfn.IFERROR(((K11/D11*100)+(M11/F11*100)+(((1.76*G11-N11)/G11)*100))+(((1.76*I11-P11)/I11)*100),((K11/D11*100)+(M11/F11*100)+(((1.76*G11-N11)/G11)*100)))))</f>
        <v>#VALUE!</v>
      </c>
      <c r="AN11" s="138">
        <f>IF(AK11&gt;24,(((K11/D11*100)+(M11/F11*100)+(76-((((1.76*G11-N11)/G11)*100)-100)))),(((K11/D11*100)+(M11/F11*100)+(((1.76*G11-N11)/G11)*100))))</f>
        <v>276</v>
      </c>
      <c r="AO11" s="20">
        <f>_xlfn.IFERROR(AM11,AN11)</f>
        <v>276</v>
      </c>
      <c r="AR11" s="152">
        <f>SUM(AR8:AR10)</f>
        <v>84.5952380952381</v>
      </c>
      <c r="AS11" s="152">
        <f>AR11*60%</f>
        <v>50.75714285714286</v>
      </c>
    </row>
    <row r="12" spans="1:41" s="20" customFormat="1" ht="65.25" thickBot="1" thickTop="1">
      <c r="A12" s="38">
        <v>5</v>
      </c>
      <c r="B12" s="139" t="str">
        <f>SKP2!C19</f>
        <v>Membuat karya tulis berupa laporan hasil penelitian pada bidang pendidikan di sekolahnya, diterbitkan/dipublikasikan dalam majalah ilmiah tingkat kabupaten/kota.*** (1 AK/Karya Tulis dalam Majalah/Jurnal Ilmiah)</v>
      </c>
      <c r="C12" s="143">
        <f>SKP2!F19</f>
        <v>1</v>
      </c>
      <c r="D12" s="110">
        <f>SKP2!G19</f>
        <v>1</v>
      </c>
      <c r="E12" s="111" t="str">
        <f>SKP2!H19</f>
        <v>Karya Tulis dalam Majalah/Jurnal Ilmiah</v>
      </c>
      <c r="F12" s="112">
        <f>SKP2!I19</f>
        <v>100</v>
      </c>
      <c r="G12" s="110">
        <f>SKP2!J19</f>
        <v>12</v>
      </c>
      <c r="H12" s="112" t="str">
        <f>SKP2!K19</f>
        <v>Bulan</v>
      </c>
      <c r="I12" s="116" t="str">
        <f>SKP2!L19</f>
        <v>-</v>
      </c>
      <c r="J12" s="143">
        <f>K12*SKP2!E19</f>
        <v>1</v>
      </c>
      <c r="K12" s="110">
        <v>1</v>
      </c>
      <c r="L12" s="111" t="str">
        <f t="shared" si="0"/>
        <v>Karya Tulis dalam Majalah/Jurnal Ilmiah</v>
      </c>
      <c r="M12" s="38">
        <v>100</v>
      </c>
      <c r="N12" s="110">
        <v>12</v>
      </c>
      <c r="O12" s="112" t="str">
        <f t="shared" si="1"/>
        <v>Bulan</v>
      </c>
      <c r="P12" s="104" t="s">
        <v>86</v>
      </c>
      <c r="Q12" s="114">
        <f t="shared" si="2"/>
        <v>276</v>
      </c>
      <c r="R12" s="114">
        <f t="shared" si="3"/>
        <v>92</v>
      </c>
      <c r="T12" s="20">
        <f t="shared" si="4"/>
        <v>1</v>
      </c>
      <c r="U12" s="20">
        <f t="shared" si="5"/>
        <v>92</v>
      </c>
      <c r="W12" s="20">
        <f t="shared" si="6"/>
        <v>0</v>
      </c>
      <c r="X12" s="51" t="e">
        <f t="shared" si="7"/>
        <v>#VALUE!</v>
      </c>
      <c r="Y12" s="20">
        <f t="shared" si="8"/>
        <v>100</v>
      </c>
      <c r="Z12" s="20">
        <f t="shared" si="9"/>
        <v>100</v>
      </c>
      <c r="AA12" s="47">
        <f t="shared" si="10"/>
        <v>76.00000000000001</v>
      </c>
      <c r="AB12" s="47" t="e">
        <f t="shared" si="11"/>
        <v>#VALUE!</v>
      </c>
      <c r="AC12" s="20">
        <f t="shared" si="12"/>
        <v>76.00000000000001</v>
      </c>
      <c r="AD12" s="20">
        <f t="shared" si="13"/>
        <v>99.99999999999999</v>
      </c>
      <c r="AE12" s="137" t="e">
        <f t="shared" si="14"/>
        <v>#VALUE!</v>
      </c>
      <c r="AF12" s="137" t="e">
        <f t="shared" si="15"/>
        <v>#VALUE!</v>
      </c>
      <c r="AG12" s="137">
        <f t="shared" si="16"/>
        <v>276</v>
      </c>
      <c r="AH12" s="137"/>
      <c r="AI12" s="138"/>
      <c r="AJ12" s="138"/>
      <c r="AK12" s="52">
        <f t="shared" si="17"/>
        <v>0</v>
      </c>
      <c r="AL12" s="53" t="e">
        <f t="shared" si="18"/>
        <v>#VALUE!</v>
      </c>
      <c r="AM12" s="47" t="e">
        <f t="shared" si="19"/>
        <v>#VALUE!</v>
      </c>
      <c r="AN12" s="138">
        <f t="shared" si="20"/>
        <v>276</v>
      </c>
      <c r="AO12" s="20">
        <f t="shared" si="21"/>
        <v>276</v>
      </c>
    </row>
    <row r="13" spans="1:41" s="20" customFormat="1" ht="27" thickBot="1" thickTop="1">
      <c r="A13" s="38">
        <v>6</v>
      </c>
      <c r="B13" s="139" t="str">
        <f>SKP2!C20</f>
        <v>Membuat Alat Peraga Kategori Kompleks**** (2 AK/alat peraga)</v>
      </c>
      <c r="C13" s="143">
        <f>SKP2!F20</f>
        <v>2</v>
      </c>
      <c r="D13" s="110">
        <f>SKP2!G20</f>
        <v>1</v>
      </c>
      <c r="E13" s="111" t="str">
        <f>SKP2!H20</f>
        <v>Alat Peraga</v>
      </c>
      <c r="F13" s="112">
        <f>SKP2!I20</f>
        <v>100</v>
      </c>
      <c r="G13" s="110">
        <f>SKP2!J20</f>
        <v>12</v>
      </c>
      <c r="H13" s="112" t="str">
        <f>SKP2!K20</f>
        <v>Bulan</v>
      </c>
      <c r="I13" s="113" t="str">
        <f>SKP2!L20</f>
        <v>-</v>
      </c>
      <c r="J13" s="143">
        <v>0</v>
      </c>
      <c r="K13" s="110">
        <v>1</v>
      </c>
      <c r="L13" s="111" t="s">
        <v>124</v>
      </c>
      <c r="M13" s="38">
        <v>0</v>
      </c>
      <c r="N13" s="110">
        <v>12</v>
      </c>
      <c r="O13" s="112" t="str">
        <f t="shared" si="1"/>
        <v>Bulan</v>
      </c>
      <c r="P13" s="104" t="s">
        <v>86</v>
      </c>
      <c r="Q13" s="114">
        <f t="shared" si="2"/>
        <v>176</v>
      </c>
      <c r="R13" s="114">
        <f t="shared" si="3"/>
        <v>58.666666666666664</v>
      </c>
      <c r="T13" s="20">
        <f t="shared" si="4"/>
        <v>1</v>
      </c>
      <c r="U13" s="20">
        <f t="shared" si="5"/>
        <v>58.666666666666664</v>
      </c>
      <c r="W13" s="20">
        <f t="shared" si="6"/>
        <v>0</v>
      </c>
      <c r="X13" s="51" t="e">
        <f t="shared" si="7"/>
        <v>#VALUE!</v>
      </c>
      <c r="Y13" s="20">
        <f t="shared" si="8"/>
        <v>100</v>
      </c>
      <c r="Z13" s="20">
        <f t="shared" si="9"/>
        <v>0</v>
      </c>
      <c r="AA13" s="47">
        <f t="shared" si="10"/>
        <v>76.00000000000001</v>
      </c>
      <c r="AB13" s="47" t="e">
        <f t="shared" si="11"/>
        <v>#VALUE!</v>
      </c>
      <c r="AC13" s="20">
        <f t="shared" si="12"/>
        <v>76.00000000000001</v>
      </c>
      <c r="AD13" s="20">
        <f t="shared" si="13"/>
        <v>99.99999999999999</v>
      </c>
      <c r="AE13" s="137" t="e">
        <f t="shared" si="14"/>
        <v>#VALUE!</v>
      </c>
      <c r="AF13" s="137" t="e">
        <f t="shared" si="15"/>
        <v>#VALUE!</v>
      </c>
      <c r="AG13" s="137">
        <f t="shared" si="16"/>
        <v>176</v>
      </c>
      <c r="AH13" s="137"/>
      <c r="AK13" s="52">
        <f t="shared" si="17"/>
        <v>0</v>
      </c>
      <c r="AL13" s="53" t="e">
        <f t="shared" si="18"/>
        <v>#VALUE!</v>
      </c>
      <c r="AM13" s="47" t="e">
        <f t="shared" si="19"/>
        <v>#VALUE!</v>
      </c>
      <c r="AN13" s="138">
        <f t="shared" si="20"/>
        <v>176</v>
      </c>
      <c r="AO13" s="20">
        <f t="shared" si="21"/>
        <v>176</v>
      </c>
    </row>
    <row r="14" spans="1:41" s="20" customFormat="1" ht="65.25" thickBot="1" thickTop="1">
      <c r="A14" s="38">
        <v>7</v>
      </c>
      <c r="B14" s="139" t="str">
        <f>SKP2!C22</f>
        <v>Menjadi Pelatih/Tutor/Instruktur (0.04 AK/2 JP)</v>
      </c>
      <c r="C14" s="143">
        <f>SKP2!F22</f>
        <v>0.2</v>
      </c>
      <c r="D14" s="110">
        <f>SKP2!G22</f>
        <v>10</v>
      </c>
      <c r="E14" s="111" t="str">
        <f>SKP2!H22</f>
        <v>2 JP (bukti :Surat Tugas, jadwal, Laporan)  </v>
      </c>
      <c r="F14" s="112">
        <f>SKP2!I22</f>
        <v>100</v>
      </c>
      <c r="G14" s="110">
        <f>SKP2!J22</f>
        <v>12</v>
      </c>
      <c r="H14" s="112" t="str">
        <f>SKP2!K22</f>
        <v>Bulan</v>
      </c>
      <c r="I14" s="113" t="str">
        <f>SKP2!L22</f>
        <v>-</v>
      </c>
      <c r="J14" s="143">
        <f>(K14*SKP2!E22)/2</f>
        <v>0.2</v>
      </c>
      <c r="K14" s="110">
        <v>10</v>
      </c>
      <c r="L14" s="111" t="str">
        <f t="shared" si="0"/>
        <v>2 JP (bukti :Surat Tugas, jadwal, Laporan)  </v>
      </c>
      <c r="M14" s="38">
        <v>100</v>
      </c>
      <c r="N14" s="110">
        <v>12</v>
      </c>
      <c r="O14" s="112" t="str">
        <f t="shared" si="1"/>
        <v>Bulan</v>
      </c>
      <c r="P14" s="104" t="s">
        <v>86</v>
      </c>
      <c r="Q14" s="114">
        <f t="shared" si="2"/>
        <v>276</v>
      </c>
      <c r="R14" s="114">
        <f t="shared" si="3"/>
        <v>92</v>
      </c>
      <c r="T14" s="20">
        <f t="shared" si="4"/>
        <v>1</v>
      </c>
      <c r="U14" s="20">
        <f t="shared" si="5"/>
        <v>92</v>
      </c>
      <c r="W14" s="20">
        <f t="shared" si="6"/>
        <v>0</v>
      </c>
      <c r="X14" s="51" t="e">
        <f t="shared" si="7"/>
        <v>#VALUE!</v>
      </c>
      <c r="Y14" s="20">
        <f t="shared" si="8"/>
        <v>100</v>
      </c>
      <c r="Z14" s="20">
        <f t="shared" si="9"/>
        <v>100</v>
      </c>
      <c r="AA14" s="47">
        <f t="shared" si="10"/>
        <v>76.00000000000001</v>
      </c>
      <c r="AB14" s="47" t="e">
        <f t="shared" si="11"/>
        <v>#VALUE!</v>
      </c>
      <c r="AC14" s="20">
        <f t="shared" si="12"/>
        <v>76.00000000000001</v>
      </c>
      <c r="AD14" s="20">
        <f t="shared" si="13"/>
        <v>99.99999999999999</v>
      </c>
      <c r="AE14" s="137" t="e">
        <f t="shared" si="14"/>
        <v>#VALUE!</v>
      </c>
      <c r="AF14" s="137" t="e">
        <f t="shared" si="15"/>
        <v>#VALUE!</v>
      </c>
      <c r="AG14" s="137">
        <f t="shared" si="16"/>
        <v>276</v>
      </c>
      <c r="AH14" s="137"/>
      <c r="AK14" s="47">
        <f t="shared" si="17"/>
        <v>0</v>
      </c>
      <c r="AL14" s="48" t="e">
        <f t="shared" si="18"/>
        <v>#VALUE!</v>
      </c>
      <c r="AM14" s="47" t="e">
        <f t="shared" si="19"/>
        <v>#VALUE!</v>
      </c>
      <c r="AN14" s="138">
        <f t="shared" si="20"/>
        <v>276</v>
      </c>
      <c r="AO14" s="20">
        <f t="shared" si="21"/>
        <v>276</v>
      </c>
    </row>
    <row r="15" spans="1:41" s="20" customFormat="1" ht="27" thickBot="1" thickTop="1">
      <c r="A15" s="38">
        <v>8</v>
      </c>
      <c r="B15" s="139" t="str">
        <f>SKP2!C23</f>
        <v>Menjadi pengawas Ujian Sekolah (0.08 AK/1 SK)</v>
      </c>
      <c r="C15" s="143">
        <f>SKP2!F23</f>
        <v>0.08</v>
      </c>
      <c r="D15" s="110">
        <f>SKP2!G23</f>
        <v>1</v>
      </c>
      <c r="E15" s="111" t="str">
        <f>SKP2!H23</f>
        <v>SK</v>
      </c>
      <c r="F15" s="112">
        <f>SKP2!I23</f>
        <v>100</v>
      </c>
      <c r="G15" s="110">
        <f>SKP2!J23</f>
        <v>1</v>
      </c>
      <c r="H15" s="112" t="str">
        <f>SKP2!K23</f>
        <v>Bulan</v>
      </c>
      <c r="I15" s="113" t="str">
        <f>SKP2!L23</f>
        <v>-</v>
      </c>
      <c r="J15" s="143">
        <f>K15*SKP2!E23</f>
        <v>0.08</v>
      </c>
      <c r="K15" s="110">
        <v>1</v>
      </c>
      <c r="L15" s="111" t="str">
        <f t="shared" si="0"/>
        <v>SK</v>
      </c>
      <c r="M15" s="38">
        <v>100</v>
      </c>
      <c r="N15" s="110">
        <v>1</v>
      </c>
      <c r="O15" s="112" t="str">
        <f t="shared" si="1"/>
        <v>Bulan</v>
      </c>
      <c r="P15" s="104" t="s">
        <v>86</v>
      </c>
      <c r="Q15" s="114">
        <f t="shared" si="2"/>
        <v>276</v>
      </c>
      <c r="R15" s="114">
        <f t="shared" si="3"/>
        <v>92</v>
      </c>
      <c r="T15" s="20">
        <f t="shared" si="4"/>
        <v>1</v>
      </c>
      <c r="U15" s="20">
        <f t="shared" si="5"/>
        <v>92</v>
      </c>
      <c r="W15" s="20">
        <f t="shared" si="6"/>
        <v>0</v>
      </c>
      <c r="X15" s="51" t="e">
        <f t="shared" si="7"/>
        <v>#VALUE!</v>
      </c>
      <c r="Y15" s="20">
        <f t="shared" si="8"/>
        <v>100</v>
      </c>
      <c r="Z15" s="20">
        <f t="shared" si="9"/>
        <v>100</v>
      </c>
      <c r="AA15" s="47">
        <f t="shared" si="10"/>
        <v>76</v>
      </c>
      <c r="AB15" s="47" t="e">
        <f t="shared" si="11"/>
        <v>#VALUE!</v>
      </c>
      <c r="AC15" s="20">
        <f t="shared" si="12"/>
        <v>76</v>
      </c>
      <c r="AD15" s="20">
        <f t="shared" si="13"/>
        <v>100</v>
      </c>
      <c r="AE15" s="137" t="e">
        <f t="shared" si="14"/>
        <v>#VALUE!</v>
      </c>
      <c r="AF15" s="137" t="e">
        <f t="shared" si="15"/>
        <v>#VALUE!</v>
      </c>
      <c r="AG15" s="137">
        <f t="shared" si="16"/>
        <v>276</v>
      </c>
      <c r="AH15" s="137"/>
      <c r="AK15" s="47">
        <f t="shared" si="17"/>
        <v>0</v>
      </c>
      <c r="AL15" s="48" t="e">
        <f t="shared" si="18"/>
        <v>#VALUE!</v>
      </c>
      <c r="AM15" s="47" t="e">
        <f t="shared" si="19"/>
        <v>#VALUE!</v>
      </c>
      <c r="AN15" s="138">
        <f t="shared" si="20"/>
        <v>276</v>
      </c>
      <c r="AO15" s="20">
        <f t="shared" si="21"/>
        <v>276</v>
      </c>
    </row>
    <row r="16" spans="1:41" s="20" customFormat="1" ht="26.25" thickTop="1">
      <c r="A16" s="38">
        <v>9</v>
      </c>
      <c r="B16" s="139" t="str">
        <f>SKP2!C24</f>
        <v>Menjadi Pengurus Aktif Asosiasi Profesi (1 AK/1 SK)</v>
      </c>
      <c r="C16" s="143">
        <f>SKP2!F24</f>
        <v>1</v>
      </c>
      <c r="D16" s="110">
        <f>SKP2!G24</f>
        <v>1</v>
      </c>
      <c r="E16" s="111" t="str">
        <f>SKP2!H24</f>
        <v>SK</v>
      </c>
      <c r="F16" s="112">
        <f>SKP2!I24</f>
        <v>100</v>
      </c>
      <c r="G16" s="110">
        <f>SKP2!J24</f>
        <v>12</v>
      </c>
      <c r="H16" s="112" t="str">
        <f>SKP2!K24</f>
        <v>Bulan</v>
      </c>
      <c r="I16" s="113" t="str">
        <f>SKP2!L24</f>
        <v>-</v>
      </c>
      <c r="J16" s="143">
        <f>K16*SKP2!E24</f>
        <v>1</v>
      </c>
      <c r="K16" s="110">
        <v>1</v>
      </c>
      <c r="L16" s="111" t="str">
        <f t="shared" si="0"/>
        <v>SK</v>
      </c>
      <c r="M16" s="38">
        <v>100</v>
      </c>
      <c r="N16" s="110">
        <v>12</v>
      </c>
      <c r="O16" s="112" t="str">
        <f t="shared" si="1"/>
        <v>Bulan</v>
      </c>
      <c r="P16" s="104" t="s">
        <v>86</v>
      </c>
      <c r="Q16" s="114">
        <f t="shared" si="2"/>
        <v>276</v>
      </c>
      <c r="R16" s="114">
        <f t="shared" si="3"/>
        <v>92</v>
      </c>
      <c r="T16" s="20">
        <f t="shared" si="4"/>
        <v>1</v>
      </c>
      <c r="U16" s="20">
        <f t="shared" si="5"/>
        <v>92</v>
      </c>
      <c r="W16" s="20">
        <f t="shared" si="6"/>
        <v>0</v>
      </c>
      <c r="X16" s="51" t="e">
        <f t="shared" si="7"/>
        <v>#VALUE!</v>
      </c>
      <c r="Y16" s="20">
        <f t="shared" si="8"/>
        <v>100</v>
      </c>
      <c r="Z16" s="20">
        <f t="shared" si="9"/>
        <v>100</v>
      </c>
      <c r="AA16" s="47">
        <f t="shared" si="10"/>
        <v>76.00000000000001</v>
      </c>
      <c r="AB16" s="47" t="e">
        <f t="shared" si="11"/>
        <v>#VALUE!</v>
      </c>
      <c r="AC16" s="20">
        <f t="shared" si="12"/>
        <v>76.00000000000001</v>
      </c>
      <c r="AD16" s="20">
        <f t="shared" si="13"/>
        <v>99.99999999999999</v>
      </c>
      <c r="AE16" s="137" t="e">
        <f t="shared" si="14"/>
        <v>#VALUE!</v>
      </c>
      <c r="AF16" s="137" t="e">
        <f t="shared" si="15"/>
        <v>#VALUE!</v>
      </c>
      <c r="AG16" s="137">
        <f t="shared" si="16"/>
        <v>276</v>
      </c>
      <c r="AH16" s="137"/>
      <c r="AK16" s="47">
        <f t="shared" si="17"/>
        <v>0</v>
      </c>
      <c r="AL16" s="48" t="e">
        <f t="shared" si="18"/>
        <v>#VALUE!</v>
      </c>
      <c r="AM16" s="47" t="e">
        <f t="shared" si="19"/>
        <v>#VALUE!</v>
      </c>
      <c r="AN16" s="138">
        <f t="shared" si="20"/>
        <v>276</v>
      </c>
      <c r="AO16" s="20">
        <f t="shared" si="21"/>
        <v>276</v>
      </c>
    </row>
    <row r="17" spans="1:41" s="20" customFormat="1" ht="15.75" customHeight="1">
      <c r="A17" s="38">
        <v>12</v>
      </c>
      <c r="B17" s="109" t="str">
        <f>SKP2!C27</f>
        <v>JUMLAH</v>
      </c>
      <c r="C17" s="143">
        <f>SKP2!F27</f>
        <v>18.404999999999998</v>
      </c>
      <c r="D17" s="110"/>
      <c r="E17" s="111"/>
      <c r="F17" s="112"/>
      <c r="G17" s="110"/>
      <c r="H17" s="112"/>
      <c r="I17" s="113"/>
      <c r="J17" s="143">
        <f>SUM(J8:J16)</f>
        <v>13.911249999999999</v>
      </c>
      <c r="K17" s="110"/>
      <c r="L17" s="111"/>
      <c r="M17" s="38"/>
      <c r="N17" s="110"/>
      <c r="O17" s="112"/>
      <c r="P17" s="112"/>
      <c r="Q17" s="117"/>
      <c r="R17" s="117"/>
      <c r="T17" s="20">
        <f>IF(D17&gt;0,1,0)</f>
        <v>0</v>
      </c>
      <c r="U17" s="20">
        <f>_xlfn.IFERROR(R17,0)</f>
        <v>0</v>
      </c>
      <c r="W17" s="20" t="e">
        <f>100-(N17/G17*100)</f>
        <v>#DIV/0!</v>
      </c>
      <c r="X17" s="51" t="e">
        <f>100-(P17/I17*100)</f>
        <v>#DIV/0!</v>
      </c>
      <c r="Y17" s="20" t="e">
        <f>K17/D17*100</f>
        <v>#DIV/0!</v>
      </c>
      <c r="Z17" s="20" t="e">
        <f>M17/F17*100</f>
        <v>#DIV/0!</v>
      </c>
      <c r="AA17" s="47" t="e">
        <f>IF(W17&gt;24,AD17,AC17)</f>
        <v>#DIV/0!</v>
      </c>
      <c r="AB17" s="47" t="e">
        <f>IF(X17&gt;24,AF17,AE17)</f>
        <v>#DIV/0!</v>
      </c>
      <c r="AC17" s="20" t="e">
        <f>((1.76*G17-N17)/G17)*100</f>
        <v>#DIV/0!</v>
      </c>
      <c r="AD17" s="20" t="e">
        <f>76-((((1.76*G17-N17)/G17)*100)-100)</f>
        <v>#DIV/0!</v>
      </c>
      <c r="AE17" t="e">
        <f>((1.76*I17-P17)/I17)*100</f>
        <v>#DIV/0!</v>
      </c>
      <c r="AF17" t="e">
        <f>76-((((1.76*I17-P17)/I17)*100)-100)</f>
        <v>#DIV/0!</v>
      </c>
      <c r="AG17" t="e">
        <f>_xlfn.IFERROR(SUM(Y17:AB17),SUM(Y17:AA17))</f>
        <v>#DIV/0!</v>
      </c>
      <c r="AH17"/>
      <c r="AK17" s="47" t="e">
        <f>100-(N17/G17*100)</f>
        <v>#DIV/0!</v>
      </c>
      <c r="AL17" s="48" t="e">
        <f>100-(P17/I17*100)</f>
        <v>#DIV/0!</v>
      </c>
      <c r="AM17" s="47" t="e">
        <f>IF(AND(AK17&gt;24,AL17&gt;24),(_xlfn.IFERROR(((K17/D17*100)+(M17/F17*100)+(76-((((1.76*G17-N17)/G17)*100)-100))+(76-((((1.76*I17-P17)/I17)*100)-100))),((K17/D17*100)+(M17/F17*100)+(76-((((1.76*G17-N17)/G17)*100)-100))))),(_xlfn.IFERROR(((K17/D17*100)+(M17/F17*100)+(((1.76*G17-N17)/G17)*100))+(((1.76*I17-P17)/I17)*100),((K17/D17*100)+(M17/F17*100)+(((1.76*G17-N17)/G17)*100)))))</f>
        <v>#DIV/0!</v>
      </c>
      <c r="AN17" s="49" t="e">
        <f>IF(AK17&gt;24,(((K17/D17*100)+(M17/F17*100)+(76-((((1.76*G17-N17)/G17)*100)-100)))),(((K17/D17*100)+(M17/F17*100)+(((1.76*G17-N17)/G17)*100))))</f>
        <v>#DIV/0!</v>
      </c>
      <c r="AO17" s="20" t="e">
        <f>_xlfn.IFERROR(AM17,AN17)</f>
        <v>#DIV/0!</v>
      </c>
    </row>
    <row r="18" spans="1:18" ht="26.25" customHeight="1" thickBot="1">
      <c r="A18" s="106"/>
      <c r="B18" s="107" t="s">
        <v>87</v>
      </c>
      <c r="C18" s="144"/>
      <c r="D18" s="225"/>
      <c r="E18" s="226"/>
      <c r="F18" s="226"/>
      <c r="G18" s="226"/>
      <c r="H18" s="226"/>
      <c r="I18" s="227"/>
      <c r="J18" s="149"/>
      <c r="K18" s="234"/>
      <c r="L18" s="235"/>
      <c r="M18" s="235"/>
      <c r="N18" s="235"/>
      <c r="O18" s="235"/>
      <c r="P18" s="236"/>
      <c r="Q18" s="108"/>
      <c r="R18" s="12"/>
    </row>
    <row r="19" spans="1:38" ht="15.75" customHeight="1" thickBot="1" thickTop="1">
      <c r="A19" s="39">
        <v>1</v>
      </c>
      <c r="B19" s="40" t="s">
        <v>28</v>
      </c>
      <c r="C19" s="145"/>
      <c r="D19" s="237"/>
      <c r="E19" s="237"/>
      <c r="F19" s="237"/>
      <c r="G19" s="237"/>
      <c r="H19" s="237"/>
      <c r="I19" s="237"/>
      <c r="J19" s="150"/>
      <c r="K19" s="238"/>
      <c r="L19" s="238"/>
      <c r="M19" s="238"/>
      <c r="N19" s="238"/>
      <c r="O19" s="238"/>
      <c r="P19" s="238"/>
      <c r="Q19" s="39"/>
      <c r="R19" s="248"/>
      <c r="Z19" s="50" t="s">
        <v>38</v>
      </c>
      <c r="AJ19" s="50" t="s">
        <v>34</v>
      </c>
      <c r="AL19" s="49"/>
    </row>
    <row r="20" spans="1:38" ht="15.75" customHeight="1" thickBot="1" thickTop="1">
      <c r="A20" s="39"/>
      <c r="B20" s="40" t="s">
        <v>28</v>
      </c>
      <c r="C20" s="145"/>
      <c r="D20" s="237"/>
      <c r="E20" s="237"/>
      <c r="F20" s="237"/>
      <c r="G20" s="237"/>
      <c r="H20" s="237"/>
      <c r="I20" s="237"/>
      <c r="J20" s="150"/>
      <c r="K20" s="238"/>
      <c r="L20" s="238"/>
      <c r="M20" s="238"/>
      <c r="N20" s="238"/>
      <c r="O20" s="238"/>
      <c r="P20" s="238"/>
      <c r="Q20" s="39"/>
      <c r="R20" s="249"/>
      <c r="Z20" t="s">
        <v>39</v>
      </c>
      <c r="AJ20" t="s">
        <v>35</v>
      </c>
      <c r="AL20" s="49"/>
    </row>
    <row r="21" spans="1:38" ht="15.75" customHeight="1" thickBot="1" thickTop="1">
      <c r="A21" s="39">
        <v>2</v>
      </c>
      <c r="B21" s="40" t="s">
        <v>29</v>
      </c>
      <c r="C21" s="145"/>
      <c r="D21" s="237"/>
      <c r="E21" s="237"/>
      <c r="F21" s="237"/>
      <c r="G21" s="237"/>
      <c r="H21" s="237"/>
      <c r="I21" s="237"/>
      <c r="J21" s="150"/>
      <c r="K21" s="238"/>
      <c r="L21" s="238"/>
      <c r="M21" s="238"/>
      <c r="N21" s="238"/>
      <c r="O21" s="238"/>
      <c r="P21" s="238"/>
      <c r="Q21" s="39"/>
      <c r="R21" s="248"/>
      <c r="AL21" s="49"/>
    </row>
    <row r="22" spans="1:24" ht="15.75" customHeight="1" thickBot="1" thickTop="1">
      <c r="A22" s="39"/>
      <c r="B22" s="40" t="s">
        <v>29</v>
      </c>
      <c r="C22" s="145"/>
      <c r="D22" s="237"/>
      <c r="E22" s="237"/>
      <c r="F22" s="237"/>
      <c r="G22" s="237"/>
      <c r="H22" s="237"/>
      <c r="I22" s="237"/>
      <c r="J22" s="150"/>
      <c r="K22" s="238"/>
      <c r="L22" s="238"/>
      <c r="M22" s="238"/>
      <c r="N22" s="238"/>
      <c r="O22" s="238"/>
      <c r="P22" s="238"/>
      <c r="Q22" s="39"/>
      <c r="R22" s="250"/>
      <c r="X22">
        <f>SUM(Y14:AA14)</f>
        <v>276</v>
      </c>
    </row>
    <row r="23" spans="1:18" ht="15.75" customHeight="1" thickBot="1" thickTop="1">
      <c r="A23" s="41"/>
      <c r="B23" s="42"/>
      <c r="C23" s="146"/>
      <c r="D23" s="43"/>
      <c r="E23" s="43"/>
      <c r="F23" s="43"/>
      <c r="G23" s="43"/>
      <c r="H23" s="43"/>
      <c r="I23" s="43"/>
      <c r="J23" s="151"/>
      <c r="K23" s="44"/>
      <c r="L23" s="44"/>
      <c r="M23" s="44"/>
      <c r="N23" s="44"/>
      <c r="O23" s="44"/>
      <c r="P23" s="44"/>
      <c r="Q23" s="45"/>
      <c r="R23" s="46"/>
    </row>
    <row r="24" spans="1:20" ht="13.5" customHeight="1" thickTop="1">
      <c r="A24" s="228" t="s">
        <v>19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0"/>
      <c r="R24" s="21">
        <f>(SUM(U8:U17)/T24)+R19+R21</f>
        <v>86.07407407407408</v>
      </c>
      <c r="T24">
        <f>SUM(T8:T19)</f>
        <v>9</v>
      </c>
    </row>
    <row r="25" spans="1:18" ht="13.5" customHeight="1" thickBot="1">
      <c r="A25" s="23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3"/>
      <c r="R25" s="30" t="str">
        <f>IF(R24&lt;=50,"(Buruk)",IF(R24&lt;=60,"(Sedang)",IF(R24&lt;=75,"(Cukup)",IF(R24&lt;=90.99,"(Baik)","(Sangat Baik)"))))</f>
        <v>(Baik)</v>
      </c>
    </row>
    <row r="26" ht="7.5" customHeight="1" thickTop="1"/>
    <row r="27" spans="13:18" ht="12.75">
      <c r="M27" s="239" t="s">
        <v>88</v>
      </c>
      <c r="N27" s="162"/>
      <c r="O27" s="162"/>
      <c r="P27" s="162"/>
      <c r="Q27" s="162"/>
      <c r="R27" s="162"/>
    </row>
    <row r="28" spans="13:18" ht="12.75">
      <c r="M28" s="239" t="s">
        <v>25</v>
      </c>
      <c r="N28" s="239"/>
      <c r="O28" s="239"/>
      <c r="P28" s="239"/>
      <c r="Q28" s="239"/>
      <c r="R28" s="239"/>
    </row>
    <row r="29" ht="13.5" customHeight="1"/>
    <row r="30" ht="5.25" customHeight="1"/>
    <row r="31" spans="13:18" ht="12.75">
      <c r="M31" s="161" t="str">
        <f>SKP2!B34</f>
        <v>Drs.Lugtyastyono Budi Nugroho , M.Pd</v>
      </c>
      <c r="N31" s="161"/>
      <c r="O31" s="161"/>
      <c r="P31" s="161"/>
      <c r="Q31" s="161"/>
      <c r="R31" s="161"/>
    </row>
    <row r="32" spans="13:18" ht="12.75">
      <c r="M32" s="162" t="str">
        <f>SKP2!B35</f>
        <v>19600824  199112 1 002</v>
      </c>
      <c r="N32" s="162"/>
      <c r="O32" s="162"/>
      <c r="P32" s="162"/>
      <c r="Q32" s="162"/>
      <c r="R32" s="162"/>
    </row>
  </sheetData>
  <sheetProtection/>
  <mergeCells count="36">
    <mergeCell ref="R19:R20"/>
    <mergeCell ref="R21:R22"/>
    <mergeCell ref="D20:I20"/>
    <mergeCell ref="K20:P20"/>
    <mergeCell ref="D21:I21"/>
    <mergeCell ref="K21:P21"/>
    <mergeCell ref="D22:I22"/>
    <mergeCell ref="K22:P22"/>
    <mergeCell ref="A1:R1"/>
    <mergeCell ref="A2:R2"/>
    <mergeCell ref="M27:R27"/>
    <mergeCell ref="M28:R28"/>
    <mergeCell ref="R5:R6"/>
    <mergeCell ref="K5:P5"/>
    <mergeCell ref="A5:A6"/>
    <mergeCell ref="B5:B6"/>
    <mergeCell ref="C5:C6"/>
    <mergeCell ref="J5:J6"/>
    <mergeCell ref="A24:Q25"/>
    <mergeCell ref="K6:L6"/>
    <mergeCell ref="D6:E6"/>
    <mergeCell ref="M31:R31"/>
    <mergeCell ref="M32:R32"/>
    <mergeCell ref="K18:P18"/>
    <mergeCell ref="G6:H6"/>
    <mergeCell ref="K7:L7"/>
    <mergeCell ref="D19:I19"/>
    <mergeCell ref="K19:P19"/>
    <mergeCell ref="A3:Q3"/>
    <mergeCell ref="N7:O7"/>
    <mergeCell ref="N6:O6"/>
    <mergeCell ref="Q5:Q6"/>
    <mergeCell ref="D18:I18"/>
    <mergeCell ref="D5:I5"/>
    <mergeCell ref="D7:E7"/>
    <mergeCell ref="G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zoomScale="90" zoomScaleNormal="90" zoomScalePageLayoutView="0" workbookViewId="0" topLeftCell="A34">
      <selection activeCell="A57" sqref="A57:IV65536"/>
    </sheetView>
  </sheetViews>
  <sheetFormatPr defaultColWidth="0" defaultRowHeight="12.75" zeroHeight="1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2" max="14" width="9.140625" style="0" customWidth="1"/>
    <col min="15" max="15" width="13.8515625" style="0" customWidth="1"/>
    <col min="16" max="19" width="9.140625" style="0" customWidth="1"/>
    <col min="20" max="20" width="11.7109375" style="0" customWidth="1"/>
    <col min="21" max="21" width="0.85546875" style="0" customWidth="1"/>
    <col min="22" max="22" width="9.140625" style="0" customWidth="1"/>
    <col min="23" max="16384" width="0" style="0" hidden="1" customWidth="1"/>
  </cols>
  <sheetData>
    <row r="1" ht="13.5" thickBot="1">
      <c r="F1" t="s">
        <v>85</v>
      </c>
    </row>
    <row r="2" spans="2:20" ht="30" customHeight="1" thickBot="1">
      <c r="B2" s="310" t="s">
        <v>58</v>
      </c>
      <c r="C2" s="313" t="s">
        <v>44</v>
      </c>
      <c r="D2" s="314"/>
      <c r="E2" s="314"/>
      <c r="F2" s="314"/>
      <c r="G2" s="314"/>
      <c r="H2" s="315"/>
      <c r="I2" s="70" t="s">
        <v>45</v>
      </c>
      <c r="K2" s="286" t="s">
        <v>59</v>
      </c>
      <c r="L2" s="287"/>
      <c r="M2" s="287"/>
      <c r="N2" s="287"/>
      <c r="O2" s="287"/>
      <c r="P2" s="287"/>
      <c r="Q2" s="287"/>
      <c r="R2" s="287"/>
      <c r="S2" s="287"/>
      <c r="T2" s="288"/>
    </row>
    <row r="3" spans="2:20" ht="30" customHeight="1" thickBot="1">
      <c r="B3" s="311"/>
      <c r="C3" s="304" t="s">
        <v>56</v>
      </c>
      <c r="D3" s="305"/>
      <c r="E3" s="66"/>
      <c r="F3" s="66">
        <f>PENGUKURAN!R24</f>
        <v>86.07407407407408</v>
      </c>
      <c r="G3" s="73" t="s">
        <v>64</v>
      </c>
      <c r="H3" s="67">
        <v>0.6</v>
      </c>
      <c r="I3" s="69">
        <f>F3*H3</f>
        <v>51.644444444444446</v>
      </c>
      <c r="K3" s="289" t="s">
        <v>61</v>
      </c>
      <c r="L3" s="290"/>
      <c r="M3" s="290"/>
      <c r="N3" s="290"/>
      <c r="O3" s="290"/>
      <c r="P3" s="290"/>
      <c r="Q3" s="290"/>
      <c r="R3" s="290"/>
      <c r="S3" s="290"/>
      <c r="T3" s="291"/>
    </row>
    <row r="4" spans="2:20" ht="30" customHeight="1" thickBot="1">
      <c r="B4" s="311"/>
      <c r="C4" s="316" t="s">
        <v>63</v>
      </c>
      <c r="D4" s="306" t="s">
        <v>46</v>
      </c>
      <c r="E4" s="307"/>
      <c r="F4" s="96">
        <v>76</v>
      </c>
      <c r="G4" s="282" t="str">
        <f>IF(F4&lt;=50,"(Buruk)",IF(F4&lt;=60,"(Sedang)",IF(F4&lt;=75,"(Cukup)",IF(F4&lt;=90.99,"(Baik)","(Sangat Baik)"))))</f>
        <v>(Baik)</v>
      </c>
      <c r="H4" s="283"/>
      <c r="I4" s="71"/>
      <c r="K4" s="58"/>
      <c r="L4" s="54"/>
      <c r="M4" s="54"/>
      <c r="N4" s="54"/>
      <c r="O4" s="54"/>
      <c r="P4" s="54"/>
      <c r="Q4" s="54"/>
      <c r="R4" s="54"/>
      <c r="S4" s="54"/>
      <c r="T4" s="55"/>
    </row>
    <row r="5" spans="2:20" ht="30" customHeight="1" thickBot="1">
      <c r="B5" s="311"/>
      <c r="C5" s="317"/>
      <c r="D5" s="306" t="s">
        <v>47</v>
      </c>
      <c r="E5" s="307"/>
      <c r="F5" s="96">
        <v>76</v>
      </c>
      <c r="G5" s="282" t="str">
        <f>IF(F5&lt;=50,"(Buruk)",IF(F5&lt;=60,"(Sedang)",IF(F5&lt;=75,"(Cukup)",IF(F5&lt;=90.99,"(Baik)","(Sangat Baik)"))))</f>
        <v>(Baik)</v>
      </c>
      <c r="H5" s="283"/>
      <c r="I5" s="71"/>
      <c r="K5" s="58"/>
      <c r="L5" s="54"/>
      <c r="M5" s="54"/>
      <c r="N5" s="54"/>
      <c r="O5" s="54"/>
      <c r="P5" s="54"/>
      <c r="Q5" s="54"/>
      <c r="R5" s="54"/>
      <c r="S5" s="54"/>
      <c r="T5" s="55"/>
    </row>
    <row r="6" spans="2:20" ht="30" customHeight="1" thickBot="1">
      <c r="B6" s="311"/>
      <c r="C6" s="317"/>
      <c r="D6" s="306" t="s">
        <v>48</v>
      </c>
      <c r="E6" s="307"/>
      <c r="F6" s="96">
        <v>84</v>
      </c>
      <c r="G6" s="282" t="str">
        <f>IF(F6&lt;=50,"(Buruk)",IF(F6&lt;=60,"(Sedang)",IF(F6&lt;=75,"(Cukup)",IF(F6&lt;=90.99,"(Baik)","(Sangat Baik)"))))</f>
        <v>(Baik)</v>
      </c>
      <c r="H6" s="283"/>
      <c r="I6" s="71"/>
      <c r="K6" s="58"/>
      <c r="L6" s="54"/>
      <c r="M6" s="54"/>
      <c r="N6" s="54"/>
      <c r="O6" s="54"/>
      <c r="P6" s="54"/>
      <c r="Q6" s="54"/>
      <c r="R6" s="54"/>
      <c r="S6" s="54"/>
      <c r="T6" s="55"/>
    </row>
    <row r="7" spans="2:20" ht="30" customHeight="1" thickBot="1">
      <c r="B7" s="311"/>
      <c r="C7" s="317"/>
      <c r="D7" s="306" t="s">
        <v>49</v>
      </c>
      <c r="E7" s="307"/>
      <c r="F7" s="96">
        <v>78</v>
      </c>
      <c r="G7" s="282" t="str">
        <f>IF(F7&lt;=50,"(Buruk)",IF(F7&lt;=60,"(Sedang)",IF(F7&lt;=75,"(Cukup)",IF(F7&lt;=90.99,"(Baik)","(Sangat Baik)"))))</f>
        <v>(Baik)</v>
      </c>
      <c r="H7" s="283"/>
      <c r="I7" s="71"/>
      <c r="K7" s="58"/>
      <c r="L7" s="54"/>
      <c r="M7" s="54"/>
      <c r="N7" s="54"/>
      <c r="O7" s="54"/>
      <c r="P7" s="54"/>
      <c r="Q7" s="54"/>
      <c r="R7" s="54"/>
      <c r="S7" s="54"/>
      <c r="T7" s="55"/>
    </row>
    <row r="8" spans="2:20" ht="30" customHeight="1" thickBot="1">
      <c r="B8" s="311"/>
      <c r="C8" s="317"/>
      <c r="D8" s="306" t="s">
        <v>50</v>
      </c>
      <c r="E8" s="307"/>
      <c r="F8" s="96">
        <v>86</v>
      </c>
      <c r="G8" s="282" t="str">
        <f>IF(F8&lt;=50,"(Buruk)",IF(F8&lt;=60,"(Sedang)",IF(F8&lt;=75,"(Cukup)",IF(F8&lt;=90.99,"(Baik)","(Sangat Baik)"))))</f>
        <v>(Baik)</v>
      </c>
      <c r="H8" s="283"/>
      <c r="I8" s="71"/>
      <c r="K8" s="58"/>
      <c r="L8" s="54"/>
      <c r="M8" s="54"/>
      <c r="N8" s="54"/>
      <c r="O8" s="54"/>
      <c r="P8" s="54"/>
      <c r="Q8" s="54"/>
      <c r="R8" s="54"/>
      <c r="S8" s="54"/>
      <c r="T8" s="55"/>
    </row>
    <row r="9" spans="2:20" ht="30" customHeight="1" thickBot="1">
      <c r="B9" s="311"/>
      <c r="C9" s="317"/>
      <c r="D9" s="306" t="s">
        <v>51</v>
      </c>
      <c r="E9" s="307"/>
      <c r="F9" s="96" t="s">
        <v>86</v>
      </c>
      <c r="G9" s="282">
        <f>IF(F9="-","",IF(F9&lt;=50,"(Buruk)",IF(F9&lt;=60,"(Sedang)",IF(F9&lt;=75,"(Cukup)",IF(F9&lt;=90.99,"(Baik)","(Sangat Baik)")))))</f>
      </c>
      <c r="H9" s="283"/>
      <c r="I9" s="71"/>
      <c r="K9" s="58"/>
      <c r="L9" s="54"/>
      <c r="M9" s="54"/>
      <c r="N9" s="54"/>
      <c r="O9" s="54"/>
      <c r="P9" s="54"/>
      <c r="Q9" s="54"/>
      <c r="R9" s="54"/>
      <c r="S9" s="54"/>
      <c r="T9" s="55"/>
    </row>
    <row r="10" spans="2:20" ht="30" customHeight="1" thickBot="1">
      <c r="B10" s="311"/>
      <c r="C10" s="317"/>
      <c r="D10" s="306" t="s">
        <v>52</v>
      </c>
      <c r="E10" s="307"/>
      <c r="F10" s="68">
        <f>SUM(F4:F9)</f>
        <v>400</v>
      </c>
      <c r="G10" s="284"/>
      <c r="H10" s="285"/>
      <c r="I10" s="71"/>
      <c r="K10" s="295" t="s">
        <v>55</v>
      </c>
      <c r="L10" s="296"/>
      <c r="M10" s="296"/>
      <c r="N10" s="296"/>
      <c r="O10" s="296"/>
      <c r="P10" s="296"/>
      <c r="Q10" s="296"/>
      <c r="R10" s="296"/>
      <c r="S10" s="296"/>
      <c r="T10" s="297"/>
    </row>
    <row r="11" spans="2:20" ht="30" customHeight="1" thickBot="1">
      <c r="B11" s="311"/>
      <c r="C11" s="317"/>
      <c r="D11" s="306" t="s">
        <v>53</v>
      </c>
      <c r="E11" s="307"/>
      <c r="F11" s="74">
        <f>IF(F9="-",IF(F9="-",F10/5,F10/6),F10/6)</f>
        <v>80</v>
      </c>
      <c r="G11" s="282" t="str">
        <f>IF(F11&lt;=50,"(Buruk)",IF(F11&lt;=60,"(Sedang)",IF(F11&lt;=75,"(Cukup)",IF(F11&lt;=90.99,"(Baik)","(Sangat Baik)"))))</f>
        <v>(Baik)</v>
      </c>
      <c r="H11" s="283"/>
      <c r="I11" s="71"/>
      <c r="K11" s="286" t="s">
        <v>60</v>
      </c>
      <c r="L11" s="287"/>
      <c r="M11" s="287"/>
      <c r="N11" s="287"/>
      <c r="O11" s="287"/>
      <c r="P11" s="287"/>
      <c r="Q11" s="287"/>
      <c r="R11" s="287"/>
      <c r="S11" s="287"/>
      <c r="T11" s="288"/>
    </row>
    <row r="12" spans="2:20" ht="30" customHeight="1" thickBot="1">
      <c r="B12" s="312"/>
      <c r="C12" s="318"/>
      <c r="D12" s="322" t="s">
        <v>65</v>
      </c>
      <c r="E12" s="323"/>
      <c r="F12" s="77">
        <f>F11</f>
        <v>80</v>
      </c>
      <c r="G12" s="72" t="s">
        <v>64</v>
      </c>
      <c r="H12" s="75">
        <v>0.4</v>
      </c>
      <c r="I12" s="69">
        <f>F12*H12</f>
        <v>32</v>
      </c>
      <c r="K12" s="289" t="s">
        <v>62</v>
      </c>
      <c r="L12" s="290"/>
      <c r="M12" s="290"/>
      <c r="N12" s="290"/>
      <c r="O12" s="290"/>
      <c r="P12" s="290"/>
      <c r="Q12" s="290"/>
      <c r="R12" s="290"/>
      <c r="S12" s="290"/>
      <c r="T12" s="291"/>
    </row>
    <row r="13" spans="2:20" ht="30" customHeight="1" thickBot="1">
      <c r="B13" s="319"/>
      <c r="C13" s="320"/>
      <c r="D13" s="320"/>
      <c r="E13" s="320"/>
      <c r="F13" s="320"/>
      <c r="G13" s="320"/>
      <c r="H13" s="321"/>
      <c r="I13" s="98">
        <f>I12+I3</f>
        <v>83.64444444444445</v>
      </c>
      <c r="K13" s="58"/>
      <c r="L13" s="54"/>
      <c r="M13" s="54"/>
      <c r="N13" s="54"/>
      <c r="O13" s="54"/>
      <c r="P13" s="54"/>
      <c r="Q13" s="54"/>
      <c r="R13" s="54"/>
      <c r="S13" s="54"/>
      <c r="T13" s="55"/>
    </row>
    <row r="14" spans="2:20" ht="30" customHeight="1" thickBot="1">
      <c r="B14" s="308" t="s">
        <v>54</v>
      </c>
      <c r="C14" s="309"/>
      <c r="D14" s="309"/>
      <c r="E14" s="309"/>
      <c r="F14" s="309"/>
      <c r="G14" s="309"/>
      <c r="H14" s="309"/>
      <c r="I14" s="65" t="str">
        <f>IF(I13&lt;=50,"(Buruk)",IF(I13&lt;=60,"(Sedang)",IF(I13&lt;=75,"(Cukup)",IF(I13&lt;=90.99,"(Baik)","(Sangat Baik)"))))</f>
        <v>(Baik)</v>
      </c>
      <c r="J14" s="76"/>
      <c r="K14" s="58"/>
      <c r="L14" s="54"/>
      <c r="M14" s="54"/>
      <c r="N14" s="54"/>
      <c r="O14" s="54"/>
      <c r="P14" s="54"/>
      <c r="Q14" s="54"/>
      <c r="R14" s="54"/>
      <c r="S14" s="54"/>
      <c r="T14" s="55"/>
    </row>
    <row r="15" spans="2:20" ht="30" customHeight="1">
      <c r="B15" s="324" t="s">
        <v>85</v>
      </c>
      <c r="C15" s="325"/>
      <c r="D15" s="325"/>
      <c r="E15" s="325"/>
      <c r="F15" s="325"/>
      <c r="G15" s="325"/>
      <c r="H15" s="325"/>
      <c r="I15" s="326"/>
      <c r="K15" s="58"/>
      <c r="L15" s="54"/>
      <c r="M15" s="54"/>
      <c r="N15" s="54"/>
      <c r="O15" s="54"/>
      <c r="P15" s="54"/>
      <c r="Q15" s="54"/>
      <c r="R15" s="54"/>
      <c r="S15" s="54"/>
      <c r="T15" s="55"/>
    </row>
    <row r="16" spans="2:20" ht="30" customHeight="1">
      <c r="B16" s="278" t="s">
        <v>57</v>
      </c>
      <c r="C16" s="279"/>
      <c r="D16" s="279"/>
      <c r="E16" s="279"/>
      <c r="F16" s="279"/>
      <c r="G16" s="279"/>
      <c r="H16" s="279"/>
      <c r="I16" s="280"/>
      <c r="K16" s="58"/>
      <c r="L16" s="54"/>
      <c r="M16" s="54"/>
      <c r="N16" s="54"/>
      <c r="O16" s="54"/>
      <c r="P16" s="54"/>
      <c r="Q16" s="54"/>
      <c r="R16" s="54"/>
      <c r="S16" s="54"/>
      <c r="T16" s="55"/>
    </row>
    <row r="17" spans="2:20" ht="30" customHeight="1">
      <c r="B17" s="278"/>
      <c r="C17" s="279"/>
      <c r="D17" s="279"/>
      <c r="E17" s="279"/>
      <c r="F17" s="279"/>
      <c r="G17" s="279"/>
      <c r="H17" s="279"/>
      <c r="I17" s="280"/>
      <c r="K17" s="62"/>
      <c r="L17" s="54"/>
      <c r="M17" s="54"/>
      <c r="N17" s="54"/>
      <c r="O17" s="54"/>
      <c r="P17" s="54"/>
      <c r="Q17" s="54"/>
      <c r="R17" s="54"/>
      <c r="S17" s="54"/>
      <c r="T17" s="55"/>
    </row>
    <row r="18" spans="2:20" ht="30" customHeight="1">
      <c r="B18" s="278"/>
      <c r="C18" s="279"/>
      <c r="D18" s="279"/>
      <c r="E18" s="279"/>
      <c r="F18" s="279"/>
      <c r="G18" s="279"/>
      <c r="H18" s="279"/>
      <c r="I18" s="280"/>
      <c r="K18" s="61"/>
      <c r="L18" s="54"/>
      <c r="M18" s="54"/>
      <c r="N18" s="54"/>
      <c r="O18" s="54"/>
      <c r="P18" s="54"/>
      <c r="Q18" s="54"/>
      <c r="R18" s="54"/>
      <c r="S18" s="54"/>
      <c r="T18" s="55"/>
    </row>
    <row r="19" spans="2:20" ht="30" customHeight="1">
      <c r="B19" s="278"/>
      <c r="C19" s="279"/>
      <c r="D19" s="279"/>
      <c r="E19" s="279"/>
      <c r="F19" s="279"/>
      <c r="G19" s="279"/>
      <c r="H19" s="279"/>
      <c r="I19" s="280"/>
      <c r="K19" s="62"/>
      <c r="L19" s="54"/>
      <c r="M19" s="54"/>
      <c r="N19" s="54"/>
      <c r="O19" s="54"/>
      <c r="P19" s="54"/>
      <c r="Q19" s="54"/>
      <c r="R19" s="54"/>
      <c r="S19" s="54"/>
      <c r="T19" s="55"/>
    </row>
    <row r="20" spans="2:20" ht="30" customHeight="1">
      <c r="B20" s="278"/>
      <c r="C20" s="279"/>
      <c r="D20" s="279"/>
      <c r="E20" s="279"/>
      <c r="F20" s="279"/>
      <c r="G20" s="279"/>
      <c r="H20" s="279"/>
      <c r="I20" s="280"/>
      <c r="K20" s="62"/>
      <c r="L20" s="54"/>
      <c r="M20" s="54"/>
      <c r="N20" s="54"/>
      <c r="O20" s="54"/>
      <c r="P20" s="54"/>
      <c r="Q20" s="54"/>
      <c r="R20" s="54"/>
      <c r="S20" s="54"/>
      <c r="T20" s="55"/>
    </row>
    <row r="21" spans="2:20" ht="30" customHeight="1">
      <c r="B21" s="278"/>
      <c r="C21" s="279"/>
      <c r="D21" s="279"/>
      <c r="E21" s="279"/>
      <c r="F21" s="279"/>
      <c r="G21" s="279"/>
      <c r="H21" s="279"/>
      <c r="I21" s="280"/>
      <c r="K21" s="63"/>
      <c r="L21" s="54"/>
      <c r="M21" s="54"/>
      <c r="N21" s="54"/>
      <c r="O21" s="54"/>
      <c r="P21" s="54"/>
      <c r="Q21" s="54"/>
      <c r="R21" s="54"/>
      <c r="S21" s="54"/>
      <c r="T21" s="55"/>
    </row>
    <row r="22" spans="2:20" ht="30" customHeight="1">
      <c r="B22" s="278"/>
      <c r="C22" s="279"/>
      <c r="D22" s="279"/>
      <c r="E22" s="279"/>
      <c r="F22" s="279"/>
      <c r="G22" s="279"/>
      <c r="H22" s="279"/>
      <c r="I22" s="280"/>
      <c r="K22" s="63"/>
      <c r="L22" s="54"/>
      <c r="M22" s="54"/>
      <c r="N22" s="54"/>
      <c r="O22" s="54"/>
      <c r="P22" s="54"/>
      <c r="Q22" s="54"/>
      <c r="R22" s="54"/>
      <c r="S22" s="54"/>
      <c r="T22" s="55"/>
    </row>
    <row r="23" spans="2:20" ht="30" customHeight="1">
      <c r="B23" s="298"/>
      <c r="C23" s="299"/>
      <c r="D23" s="299"/>
      <c r="E23" s="299"/>
      <c r="F23" s="299"/>
      <c r="G23" s="299"/>
      <c r="H23" s="299"/>
      <c r="I23" s="300"/>
      <c r="J23" s="60"/>
      <c r="K23" s="292" t="s">
        <v>55</v>
      </c>
      <c r="L23" s="293"/>
      <c r="M23" s="293"/>
      <c r="N23" s="293"/>
      <c r="O23" s="293"/>
      <c r="P23" s="293"/>
      <c r="Q23" s="293"/>
      <c r="R23" s="293"/>
      <c r="S23" s="293"/>
      <c r="T23" s="294"/>
    </row>
    <row r="24" spans="2:20" ht="30" customHeight="1" thickBot="1">
      <c r="B24" s="301"/>
      <c r="C24" s="302"/>
      <c r="D24" s="302"/>
      <c r="E24" s="302"/>
      <c r="F24" s="302"/>
      <c r="G24" s="302"/>
      <c r="H24" s="302"/>
      <c r="I24" s="303"/>
      <c r="K24" s="64"/>
      <c r="L24" s="56"/>
      <c r="M24" s="56"/>
      <c r="N24" s="56"/>
      <c r="O24" s="56"/>
      <c r="P24" s="56"/>
      <c r="Q24" s="56"/>
      <c r="R24" s="56"/>
      <c r="S24" s="56"/>
      <c r="T24" s="57"/>
    </row>
    <row r="25" spans="11:12" ht="15">
      <c r="K25" s="59"/>
      <c r="L25" s="54"/>
    </row>
    <row r="26" spans="11:12" ht="15.75" thickBot="1">
      <c r="K26" s="59"/>
      <c r="L26" s="54"/>
    </row>
    <row r="27" spans="2:12" ht="15">
      <c r="B27" s="82"/>
      <c r="C27" s="79"/>
      <c r="D27" s="79"/>
      <c r="E27" s="79"/>
      <c r="F27" s="79"/>
      <c r="G27" s="79"/>
      <c r="H27" s="79"/>
      <c r="I27" s="80"/>
      <c r="K27" s="59"/>
      <c r="L27" s="54"/>
    </row>
    <row r="28" spans="2:12" ht="15.75">
      <c r="B28" s="86" t="s">
        <v>81</v>
      </c>
      <c r="C28" s="87" t="s">
        <v>82</v>
      </c>
      <c r="D28" s="54"/>
      <c r="E28" s="54"/>
      <c r="F28" s="54"/>
      <c r="G28" s="54"/>
      <c r="H28" s="54"/>
      <c r="I28" s="55"/>
      <c r="K28" s="59"/>
      <c r="L28" s="54"/>
    </row>
    <row r="29" spans="2:12" ht="15">
      <c r="B29" s="62"/>
      <c r="C29" s="54"/>
      <c r="D29" s="54"/>
      <c r="E29" s="54"/>
      <c r="F29" s="54"/>
      <c r="G29" s="54"/>
      <c r="H29" s="54"/>
      <c r="I29" s="55"/>
      <c r="K29" s="59"/>
      <c r="L29" s="54"/>
    </row>
    <row r="30" spans="2:12" ht="15">
      <c r="B30" s="62"/>
      <c r="C30" s="54"/>
      <c r="D30" s="54"/>
      <c r="E30" s="54"/>
      <c r="F30" s="54"/>
      <c r="G30" s="54"/>
      <c r="H30" s="54"/>
      <c r="I30" s="55"/>
      <c r="K30" s="59"/>
      <c r="L30" s="54"/>
    </row>
    <row r="31" spans="2:12" ht="15">
      <c r="B31" s="62"/>
      <c r="C31" s="54"/>
      <c r="D31" s="54"/>
      <c r="E31" s="54"/>
      <c r="F31" s="54"/>
      <c r="G31" s="54"/>
      <c r="H31" s="54"/>
      <c r="I31" s="55"/>
      <c r="K31" s="59"/>
      <c r="L31" s="54"/>
    </row>
    <row r="32" spans="2:20" ht="18.75">
      <c r="B32" s="62"/>
      <c r="C32" s="54"/>
      <c r="D32" s="54"/>
      <c r="E32" s="54"/>
      <c r="F32" s="54"/>
      <c r="G32" s="54"/>
      <c r="H32" s="54"/>
      <c r="I32" s="55"/>
      <c r="K32" s="281" t="s">
        <v>66</v>
      </c>
      <c r="L32" s="281"/>
      <c r="M32" s="281"/>
      <c r="N32" s="281"/>
      <c r="O32" s="281"/>
      <c r="P32" s="281"/>
      <c r="Q32" s="281"/>
      <c r="R32" s="281"/>
      <c r="S32" s="281"/>
      <c r="T32" s="281"/>
    </row>
    <row r="33" spans="2:20" ht="18.75">
      <c r="B33" s="62"/>
      <c r="C33" s="54"/>
      <c r="D33" s="54"/>
      <c r="E33" s="54"/>
      <c r="F33" s="54"/>
      <c r="G33" s="54"/>
      <c r="H33" s="54"/>
      <c r="I33" s="55"/>
      <c r="K33" s="281" t="s">
        <v>67</v>
      </c>
      <c r="L33" s="281"/>
      <c r="M33" s="281"/>
      <c r="N33" s="281"/>
      <c r="O33" s="281"/>
      <c r="P33" s="281"/>
      <c r="Q33" s="281"/>
      <c r="R33" s="281"/>
      <c r="S33" s="281"/>
      <c r="T33" s="281"/>
    </row>
    <row r="34" spans="2:12" ht="12.75">
      <c r="B34" s="62"/>
      <c r="C34" s="54"/>
      <c r="D34" s="54"/>
      <c r="E34" s="54"/>
      <c r="F34" s="54"/>
      <c r="G34" s="54"/>
      <c r="H34" s="54"/>
      <c r="I34" s="55"/>
      <c r="K34" s="54"/>
      <c r="L34" s="54"/>
    </row>
    <row r="35" spans="2:17" ht="15.75">
      <c r="B35" s="62"/>
      <c r="C35" s="54"/>
      <c r="D35" s="54"/>
      <c r="E35" s="54"/>
      <c r="F35" s="54"/>
      <c r="G35" s="54"/>
      <c r="H35" s="54"/>
      <c r="I35" s="55"/>
      <c r="K35" s="83" t="s">
        <v>89</v>
      </c>
      <c r="L35" s="54"/>
      <c r="Q35" s="85" t="s">
        <v>68</v>
      </c>
    </row>
    <row r="36" spans="2:18" ht="16.5" thickBot="1">
      <c r="B36" s="62"/>
      <c r="C36" s="54"/>
      <c r="D36" s="54"/>
      <c r="E36" s="54"/>
      <c r="F36" s="54"/>
      <c r="G36" s="54"/>
      <c r="H36" s="54"/>
      <c r="I36" s="55"/>
      <c r="K36" s="84" t="s">
        <v>89</v>
      </c>
      <c r="P36" s="78"/>
      <c r="Q36" s="85" t="s">
        <v>77</v>
      </c>
      <c r="R36" s="85" t="s">
        <v>90</v>
      </c>
    </row>
    <row r="37" spans="2:20" ht="30" customHeight="1">
      <c r="B37" s="62"/>
      <c r="C37" s="54"/>
      <c r="D37" s="54"/>
      <c r="E37" s="54"/>
      <c r="F37" s="54"/>
      <c r="G37" s="54"/>
      <c r="H37" s="54"/>
      <c r="I37" s="55"/>
      <c r="K37" s="272" t="s">
        <v>78</v>
      </c>
      <c r="L37" s="275" t="s">
        <v>69</v>
      </c>
      <c r="M37" s="276"/>
      <c r="N37" s="276"/>
      <c r="O37" s="276"/>
      <c r="P37" s="276"/>
      <c r="Q37" s="276"/>
      <c r="R37" s="276"/>
      <c r="S37" s="276"/>
      <c r="T37" s="277"/>
    </row>
    <row r="38" spans="2:20" ht="30" customHeight="1" thickBot="1">
      <c r="B38" s="81"/>
      <c r="C38" s="56"/>
      <c r="D38" s="56"/>
      <c r="E38" s="56"/>
      <c r="F38" s="56"/>
      <c r="G38" s="56"/>
      <c r="H38" s="56"/>
      <c r="I38" s="57"/>
      <c r="K38" s="273"/>
      <c r="L38" s="266" t="s">
        <v>70</v>
      </c>
      <c r="M38" s="267"/>
      <c r="N38" s="267"/>
      <c r="O38" s="268"/>
      <c r="P38" s="251">
        <f>SKP2!I5</f>
        <v>0</v>
      </c>
      <c r="Q38" s="252"/>
      <c r="R38" s="252"/>
      <c r="S38" s="252"/>
      <c r="T38" s="253"/>
    </row>
    <row r="39" spans="2:20" ht="30" customHeight="1">
      <c r="B39" s="82"/>
      <c r="C39" s="79"/>
      <c r="D39" s="79"/>
      <c r="E39" s="89" t="s">
        <v>91</v>
      </c>
      <c r="F39" s="79"/>
      <c r="G39" s="79"/>
      <c r="H39" s="79"/>
      <c r="I39" s="80"/>
      <c r="K39" s="273"/>
      <c r="L39" s="266" t="s">
        <v>71</v>
      </c>
      <c r="M39" s="267"/>
      <c r="N39" s="267"/>
      <c r="O39" s="268"/>
      <c r="P39" s="251">
        <f>SKP2!I6</f>
        <v>0</v>
      </c>
      <c r="Q39" s="252"/>
      <c r="R39" s="252"/>
      <c r="S39" s="252"/>
      <c r="T39" s="253"/>
    </row>
    <row r="40" spans="2:20" ht="30" customHeight="1">
      <c r="B40" s="62"/>
      <c r="C40" s="54"/>
      <c r="D40" s="54"/>
      <c r="E40" s="262" t="s">
        <v>75</v>
      </c>
      <c r="F40" s="262"/>
      <c r="G40" s="262"/>
      <c r="H40" s="262"/>
      <c r="I40" s="265"/>
      <c r="K40" s="273"/>
      <c r="L40" s="266" t="s">
        <v>72</v>
      </c>
      <c r="M40" s="267"/>
      <c r="N40" s="267"/>
      <c r="O40" s="268"/>
      <c r="P40" s="251">
        <f>SKP2!I7</f>
        <v>0</v>
      </c>
      <c r="Q40" s="252"/>
      <c r="R40" s="252"/>
      <c r="S40" s="252"/>
      <c r="T40" s="253"/>
    </row>
    <row r="41" spans="2:20" ht="30" customHeight="1">
      <c r="B41" s="62"/>
      <c r="C41" s="54"/>
      <c r="D41" s="54"/>
      <c r="E41" s="54"/>
      <c r="F41" s="54"/>
      <c r="G41" s="54"/>
      <c r="H41" s="54"/>
      <c r="I41" s="55"/>
      <c r="K41" s="273"/>
      <c r="L41" s="266" t="s">
        <v>73</v>
      </c>
      <c r="M41" s="267"/>
      <c r="N41" s="267"/>
      <c r="O41" s="268"/>
      <c r="P41" s="251">
        <f>SKP2!I8</f>
        <v>0</v>
      </c>
      <c r="Q41" s="252"/>
      <c r="R41" s="252"/>
      <c r="S41" s="252"/>
      <c r="T41" s="253"/>
    </row>
    <row r="42" spans="2:20" ht="30" customHeight="1" thickBot="1">
      <c r="B42" s="62"/>
      <c r="C42" s="54"/>
      <c r="D42" s="54"/>
      <c r="E42" s="258" t="str">
        <f>SKP2!D5</f>
        <v>Drs.Lugtyastyono Budi Nugroho , M.Pd</v>
      </c>
      <c r="F42" s="258"/>
      <c r="G42" s="258"/>
      <c r="H42" s="258"/>
      <c r="I42" s="259"/>
      <c r="K42" s="274"/>
      <c r="L42" s="269" t="s">
        <v>74</v>
      </c>
      <c r="M42" s="270"/>
      <c r="N42" s="270"/>
      <c r="O42" s="271"/>
      <c r="P42" s="254" t="str">
        <f>SKP2!I9</f>
        <v>SMAN 1 Wedi Klaten</v>
      </c>
      <c r="Q42" s="255"/>
      <c r="R42" s="255"/>
      <c r="S42" s="255"/>
      <c r="T42" s="256"/>
    </row>
    <row r="43" spans="2:20" ht="30" customHeight="1">
      <c r="B43" s="62"/>
      <c r="C43" s="54"/>
      <c r="D43" s="54"/>
      <c r="E43" s="260" t="str">
        <f>SKP2!D6</f>
        <v>19600824  199112 1 002</v>
      </c>
      <c r="F43" s="260"/>
      <c r="G43" s="260"/>
      <c r="H43" s="260"/>
      <c r="I43" s="261"/>
      <c r="K43" s="272" t="s">
        <v>79</v>
      </c>
      <c r="L43" s="275" t="s">
        <v>75</v>
      </c>
      <c r="M43" s="276"/>
      <c r="N43" s="276"/>
      <c r="O43" s="276"/>
      <c r="P43" s="276"/>
      <c r="Q43" s="276"/>
      <c r="R43" s="276"/>
      <c r="S43" s="276"/>
      <c r="T43" s="277"/>
    </row>
    <row r="44" spans="2:20" ht="30" customHeight="1">
      <c r="B44" s="86" t="s">
        <v>83</v>
      </c>
      <c r="C44" s="87" t="s">
        <v>92</v>
      </c>
      <c r="D44" s="54"/>
      <c r="E44" s="92"/>
      <c r="F44" s="92"/>
      <c r="G44" s="92"/>
      <c r="H44" s="92"/>
      <c r="I44" s="93"/>
      <c r="K44" s="273"/>
      <c r="L44" s="266" t="s">
        <v>70</v>
      </c>
      <c r="M44" s="267"/>
      <c r="N44" s="267"/>
      <c r="O44" s="268"/>
      <c r="P44" s="251" t="str">
        <f>SKP2!D5</f>
        <v>Drs.Lugtyastyono Budi Nugroho , M.Pd</v>
      </c>
      <c r="Q44" s="252"/>
      <c r="R44" s="252"/>
      <c r="S44" s="252"/>
      <c r="T44" s="253"/>
    </row>
    <row r="45" spans="2:20" ht="30" customHeight="1">
      <c r="B45" s="86"/>
      <c r="C45" s="262" t="s">
        <v>84</v>
      </c>
      <c r="D45" s="262"/>
      <c r="E45" s="262"/>
      <c r="F45" s="54"/>
      <c r="G45" s="54"/>
      <c r="H45" s="54"/>
      <c r="I45" s="55"/>
      <c r="K45" s="273"/>
      <c r="L45" s="266" t="s">
        <v>71</v>
      </c>
      <c r="M45" s="267"/>
      <c r="N45" s="267"/>
      <c r="O45" s="268"/>
      <c r="P45" s="251" t="str">
        <f>SKP2!D6</f>
        <v>19600824  199112 1 002</v>
      </c>
      <c r="Q45" s="252"/>
      <c r="R45" s="252"/>
      <c r="S45" s="252"/>
      <c r="T45" s="253"/>
    </row>
    <row r="46" spans="2:20" ht="30" customHeight="1">
      <c r="B46" s="62"/>
      <c r="C46" s="90"/>
      <c r="D46" s="91"/>
      <c r="E46" s="91"/>
      <c r="F46" s="54"/>
      <c r="G46" s="54"/>
      <c r="H46" s="54"/>
      <c r="I46" s="55"/>
      <c r="K46" s="273"/>
      <c r="L46" s="266" t="s">
        <v>72</v>
      </c>
      <c r="M46" s="267"/>
      <c r="N46" s="267"/>
      <c r="O46" s="268"/>
      <c r="P46" s="251" t="str">
        <f>SKP2!D7</f>
        <v>Pembina Tk. I, IV/b</v>
      </c>
      <c r="Q46" s="252"/>
      <c r="R46" s="252"/>
      <c r="S46" s="252"/>
      <c r="T46" s="253"/>
    </row>
    <row r="47" spans="2:20" ht="30" customHeight="1">
      <c r="B47" s="62"/>
      <c r="C47" s="263">
        <f>SKP2!I5</f>
        <v>0</v>
      </c>
      <c r="D47" s="263"/>
      <c r="E47" s="263"/>
      <c r="F47" s="54"/>
      <c r="G47" s="54"/>
      <c r="H47" s="54"/>
      <c r="I47" s="55"/>
      <c r="K47" s="273"/>
      <c r="L47" s="266" t="s">
        <v>73</v>
      </c>
      <c r="M47" s="267"/>
      <c r="N47" s="267"/>
      <c r="O47" s="268"/>
      <c r="P47" s="251" t="str">
        <f>SKP2!D8</f>
        <v>Kepala Sekolah </v>
      </c>
      <c r="Q47" s="252"/>
      <c r="R47" s="252"/>
      <c r="S47" s="252"/>
      <c r="T47" s="253"/>
    </row>
    <row r="48" spans="2:20" ht="30" customHeight="1" thickBot="1">
      <c r="B48" s="62"/>
      <c r="C48" s="264">
        <f>SKP2!I6</f>
        <v>0</v>
      </c>
      <c r="D48" s="264"/>
      <c r="E48" s="264"/>
      <c r="F48" s="54"/>
      <c r="G48" s="54"/>
      <c r="H48" s="54"/>
      <c r="I48" s="55"/>
      <c r="K48" s="274"/>
      <c r="L48" s="269" t="s">
        <v>74</v>
      </c>
      <c r="M48" s="270"/>
      <c r="N48" s="270"/>
      <c r="O48" s="271"/>
      <c r="P48" s="254" t="str">
        <f>SKP2!D9</f>
        <v>SMAN 1 Wedi Klaten</v>
      </c>
      <c r="Q48" s="255"/>
      <c r="R48" s="255"/>
      <c r="S48" s="255"/>
      <c r="T48" s="256"/>
    </row>
    <row r="49" spans="2:20" ht="30" customHeight="1">
      <c r="B49" s="62"/>
      <c r="C49" s="94"/>
      <c r="D49" s="94"/>
      <c r="E49" s="88" t="s">
        <v>93</v>
      </c>
      <c r="F49" s="54"/>
      <c r="G49" s="54"/>
      <c r="H49" s="54"/>
      <c r="I49" s="55"/>
      <c r="K49" s="272" t="s">
        <v>80</v>
      </c>
      <c r="L49" s="275" t="s">
        <v>76</v>
      </c>
      <c r="M49" s="276"/>
      <c r="N49" s="276"/>
      <c r="O49" s="276"/>
      <c r="P49" s="276"/>
      <c r="Q49" s="276"/>
      <c r="R49" s="276"/>
      <c r="S49" s="276"/>
      <c r="T49" s="277"/>
    </row>
    <row r="50" spans="2:20" ht="30" customHeight="1">
      <c r="B50" s="62"/>
      <c r="C50" s="95"/>
      <c r="D50" s="95"/>
      <c r="E50" s="262" t="s">
        <v>76</v>
      </c>
      <c r="F50" s="262"/>
      <c r="G50" s="262"/>
      <c r="H50" s="262"/>
      <c r="I50" s="265"/>
      <c r="K50" s="273"/>
      <c r="L50" s="266" t="s">
        <v>70</v>
      </c>
      <c r="M50" s="267"/>
      <c r="N50" s="267"/>
      <c r="O50" s="268"/>
      <c r="P50" s="257"/>
      <c r="Q50" s="252"/>
      <c r="R50" s="252"/>
      <c r="S50" s="252"/>
      <c r="T50" s="253"/>
    </row>
    <row r="51" spans="2:20" ht="30" customHeight="1">
      <c r="B51" s="62"/>
      <c r="C51" s="54"/>
      <c r="D51" s="54"/>
      <c r="E51" s="54"/>
      <c r="F51" s="54"/>
      <c r="G51" s="54"/>
      <c r="H51" s="54"/>
      <c r="I51" s="55"/>
      <c r="K51" s="273"/>
      <c r="L51" s="266" t="s">
        <v>71</v>
      </c>
      <c r="M51" s="267"/>
      <c r="N51" s="267"/>
      <c r="O51" s="268"/>
      <c r="P51" s="257"/>
      <c r="Q51" s="252"/>
      <c r="R51" s="252"/>
      <c r="S51" s="252"/>
      <c r="T51" s="253"/>
    </row>
    <row r="52" spans="2:20" ht="30" customHeight="1">
      <c r="B52" s="62"/>
      <c r="C52" s="54"/>
      <c r="D52" s="54"/>
      <c r="E52" s="258">
        <f>P50</f>
        <v>0</v>
      </c>
      <c r="F52" s="258"/>
      <c r="G52" s="258"/>
      <c r="H52" s="258"/>
      <c r="I52" s="259"/>
      <c r="K52" s="273"/>
      <c r="L52" s="266" t="s">
        <v>72</v>
      </c>
      <c r="M52" s="267"/>
      <c r="N52" s="267"/>
      <c r="O52" s="268"/>
      <c r="P52" s="257"/>
      <c r="Q52" s="252"/>
      <c r="R52" s="252"/>
      <c r="S52" s="252"/>
      <c r="T52" s="253"/>
    </row>
    <row r="53" spans="2:20" ht="30" customHeight="1">
      <c r="B53" s="62"/>
      <c r="C53" s="54"/>
      <c r="D53" s="54"/>
      <c r="E53" s="260">
        <f>P51</f>
        <v>0</v>
      </c>
      <c r="F53" s="260"/>
      <c r="G53" s="260"/>
      <c r="H53" s="260"/>
      <c r="I53" s="261"/>
      <c r="K53" s="273"/>
      <c r="L53" s="266" t="s">
        <v>73</v>
      </c>
      <c r="M53" s="267"/>
      <c r="N53" s="267"/>
      <c r="O53" s="268"/>
      <c r="P53" s="257"/>
      <c r="Q53" s="252"/>
      <c r="R53" s="252"/>
      <c r="S53" s="252"/>
      <c r="T53" s="253"/>
    </row>
    <row r="54" spans="2:20" ht="30" customHeight="1" thickBot="1">
      <c r="B54" s="81"/>
      <c r="C54" s="56"/>
      <c r="D54" s="56"/>
      <c r="E54" s="56"/>
      <c r="F54" s="56"/>
      <c r="G54" s="56"/>
      <c r="H54" s="56"/>
      <c r="I54" s="57"/>
      <c r="K54" s="274"/>
      <c r="L54" s="269" t="s">
        <v>74</v>
      </c>
      <c r="M54" s="270"/>
      <c r="N54" s="270"/>
      <c r="O54" s="271"/>
      <c r="P54" s="254"/>
      <c r="Q54" s="255"/>
      <c r="R54" s="255"/>
      <c r="S54" s="255"/>
      <c r="T54" s="256"/>
    </row>
    <row r="55" ht="12.75"/>
    <row r="56" ht="12.75"/>
  </sheetData>
  <sheetProtection/>
  <mergeCells count="86">
    <mergeCell ref="D9:E9"/>
    <mergeCell ref="D10:E10"/>
    <mergeCell ref="D11:E11"/>
    <mergeCell ref="D12:E12"/>
    <mergeCell ref="B15:I15"/>
    <mergeCell ref="B16:I16"/>
    <mergeCell ref="B17:I17"/>
    <mergeCell ref="B18:I18"/>
    <mergeCell ref="B19:I19"/>
    <mergeCell ref="B2:B12"/>
    <mergeCell ref="C2:H2"/>
    <mergeCell ref="C4:C12"/>
    <mergeCell ref="B13:H13"/>
    <mergeCell ref="D8:E8"/>
    <mergeCell ref="G4:H4"/>
    <mergeCell ref="G5:H5"/>
    <mergeCell ref="B21:I21"/>
    <mergeCell ref="B22:I22"/>
    <mergeCell ref="B23:I23"/>
    <mergeCell ref="B24:I24"/>
    <mergeCell ref="C3:D3"/>
    <mergeCell ref="D4:E4"/>
    <mergeCell ref="D5:E5"/>
    <mergeCell ref="D6:E6"/>
    <mergeCell ref="D7:E7"/>
    <mergeCell ref="B14:H14"/>
    <mergeCell ref="K2:T2"/>
    <mergeCell ref="K3:T3"/>
    <mergeCell ref="K11:T11"/>
    <mergeCell ref="K12:T12"/>
    <mergeCell ref="K23:T23"/>
    <mergeCell ref="K10:T10"/>
    <mergeCell ref="G6:H6"/>
    <mergeCell ref="G7:H7"/>
    <mergeCell ref="G8:H8"/>
    <mergeCell ref="G9:H9"/>
    <mergeCell ref="G10:H10"/>
    <mergeCell ref="G11:H11"/>
    <mergeCell ref="K32:T32"/>
    <mergeCell ref="K33:T33"/>
    <mergeCell ref="K37:K42"/>
    <mergeCell ref="L37:T37"/>
    <mergeCell ref="L38:O38"/>
    <mergeCell ref="L39:O39"/>
    <mergeCell ref="E40:I40"/>
    <mergeCell ref="B20:I20"/>
    <mergeCell ref="L40:O40"/>
    <mergeCell ref="L41:O41"/>
    <mergeCell ref="L42:O42"/>
    <mergeCell ref="K43:K48"/>
    <mergeCell ref="L43:T43"/>
    <mergeCell ref="L44:O44"/>
    <mergeCell ref="L45:O45"/>
    <mergeCell ref="L46:O46"/>
    <mergeCell ref="L47:O47"/>
    <mergeCell ref="L48:O48"/>
    <mergeCell ref="K49:K54"/>
    <mergeCell ref="L50:O50"/>
    <mergeCell ref="L51:O51"/>
    <mergeCell ref="L52:O52"/>
    <mergeCell ref="L53:O53"/>
    <mergeCell ref="L54:O54"/>
    <mergeCell ref="L49:T49"/>
    <mergeCell ref="P54:T54"/>
    <mergeCell ref="E43:I43"/>
    <mergeCell ref="E42:I42"/>
    <mergeCell ref="C45:E45"/>
    <mergeCell ref="C47:E47"/>
    <mergeCell ref="C48:E48"/>
    <mergeCell ref="E50:I50"/>
    <mergeCell ref="E52:I52"/>
    <mergeCell ref="E53:I53"/>
    <mergeCell ref="P38:T38"/>
    <mergeCell ref="P39:T39"/>
    <mergeCell ref="P40:T40"/>
    <mergeCell ref="P41:T41"/>
    <mergeCell ref="P42:T42"/>
    <mergeCell ref="P44:T44"/>
    <mergeCell ref="P45:T45"/>
    <mergeCell ref="P46:T46"/>
    <mergeCell ref="P47:T47"/>
    <mergeCell ref="P48:T48"/>
    <mergeCell ref="P50:T50"/>
    <mergeCell ref="P51:T51"/>
    <mergeCell ref="P52:T52"/>
    <mergeCell ref="P53:T53"/>
  </mergeCells>
  <printOptions/>
  <pageMargins left="0.4724409448818898" right="0.1968503937007874" top="0.53" bottom="0.6" header="0.31496062992125984" footer="0.31496062992125984"/>
  <pageSetup horizontalDpi="600" verticalDpi="600" orientation="landscape" paperSize="9" scale="70"/>
  <rowBreaks count="1" manualBreakCount="1">
    <brk id="25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TOSHIBA</cp:lastModifiedBy>
  <cp:lastPrinted>2013-07-04T14:21:16Z</cp:lastPrinted>
  <dcterms:created xsi:type="dcterms:W3CDTF">2010-10-07T03:41:24Z</dcterms:created>
  <dcterms:modified xsi:type="dcterms:W3CDTF">2014-12-08T06:06:52Z</dcterms:modified>
  <cp:category/>
  <cp:version/>
  <cp:contentType/>
  <cp:contentStatus/>
</cp:coreProperties>
</file>